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pci poslovi\Nabava\2019\Plan nabave\"/>
    </mc:Choice>
  </mc:AlternateContent>
  <bookViews>
    <workbookView xWindow="0" yWindow="0" windowWidth="21570" windowHeight="10215"/>
  </bookViews>
  <sheets>
    <sheet name="downloadnab" sheetId="2" r:id="rId1"/>
  </sheets>
  <calcPr calcId="162913"/>
</workbook>
</file>

<file path=xl/calcChain.xml><?xml version="1.0" encoding="utf-8"?>
<calcChain xmlns="http://schemas.openxmlformats.org/spreadsheetml/2006/main">
  <c r="M317" i="2" l="1"/>
  <c r="L317" i="2"/>
  <c r="C317" i="2"/>
  <c r="M316" i="2"/>
  <c r="L316" i="2"/>
  <c r="C316" i="2"/>
  <c r="M312" i="2"/>
  <c r="L312" i="2"/>
  <c r="C312" i="2"/>
  <c r="M311" i="2"/>
  <c r="L311" i="2"/>
  <c r="C311" i="2"/>
  <c r="M310" i="2"/>
  <c r="L310" i="2"/>
  <c r="C310" i="2"/>
  <c r="M309" i="2"/>
  <c r="L309" i="2"/>
  <c r="C309" i="2"/>
  <c r="M308" i="2"/>
  <c r="L308" i="2"/>
  <c r="C308" i="2"/>
  <c r="M307" i="2"/>
  <c r="L307" i="2"/>
  <c r="C307" i="2"/>
  <c r="M306" i="2"/>
  <c r="L306" i="2"/>
  <c r="C306" i="2"/>
  <c r="M305" i="2"/>
  <c r="L305" i="2"/>
  <c r="C305" i="2"/>
  <c r="M304" i="2"/>
  <c r="L304" i="2"/>
  <c r="C304" i="2"/>
  <c r="M303" i="2"/>
  <c r="L303" i="2"/>
  <c r="C303" i="2"/>
  <c r="M299" i="2"/>
  <c r="L299" i="2"/>
  <c r="C299" i="2"/>
  <c r="M298" i="2"/>
  <c r="L298" i="2"/>
  <c r="C298" i="2"/>
  <c r="M297" i="2"/>
  <c r="L297" i="2"/>
  <c r="C297" i="2"/>
  <c r="M296" i="2"/>
  <c r="L296" i="2"/>
  <c r="C296" i="2"/>
  <c r="M295" i="2"/>
  <c r="L295" i="2"/>
  <c r="C295" i="2"/>
  <c r="M294" i="2"/>
  <c r="L294" i="2"/>
  <c r="C294" i="2"/>
  <c r="M293" i="2"/>
  <c r="L293" i="2"/>
  <c r="C293" i="2"/>
  <c r="M292" i="2"/>
  <c r="L292" i="2"/>
  <c r="C292" i="2"/>
  <c r="M291" i="2"/>
  <c r="L291" i="2"/>
  <c r="C291" i="2"/>
  <c r="M290" i="2"/>
  <c r="L290" i="2"/>
  <c r="C290" i="2"/>
  <c r="M289" i="2"/>
  <c r="L289" i="2"/>
  <c r="C289" i="2"/>
  <c r="M288" i="2"/>
  <c r="L288" i="2"/>
  <c r="C288" i="2"/>
  <c r="M287" i="2"/>
  <c r="L287" i="2"/>
  <c r="C287" i="2"/>
  <c r="M286" i="2"/>
  <c r="L286" i="2"/>
  <c r="C286" i="2"/>
  <c r="M285" i="2"/>
  <c r="L285" i="2"/>
  <c r="C285" i="2"/>
  <c r="M284" i="2"/>
  <c r="L284" i="2"/>
  <c r="C284" i="2"/>
  <c r="M283" i="2"/>
  <c r="L283" i="2"/>
  <c r="C283" i="2"/>
  <c r="M282" i="2"/>
  <c r="L282" i="2"/>
  <c r="C282" i="2"/>
  <c r="M281" i="2"/>
  <c r="L281" i="2"/>
  <c r="C281" i="2"/>
  <c r="M280" i="2"/>
  <c r="L280" i="2"/>
  <c r="C280" i="2"/>
  <c r="M279" i="2"/>
  <c r="L279" i="2"/>
  <c r="C279" i="2"/>
  <c r="M278" i="2"/>
  <c r="L278" i="2"/>
  <c r="C278" i="2"/>
  <c r="M277" i="2"/>
  <c r="L277" i="2"/>
  <c r="C277" i="2"/>
  <c r="M276" i="2"/>
  <c r="L276" i="2"/>
  <c r="C276" i="2"/>
  <c r="M275" i="2"/>
  <c r="L275" i="2"/>
  <c r="C275" i="2"/>
  <c r="M274" i="2"/>
  <c r="L274" i="2"/>
  <c r="C274" i="2"/>
  <c r="M273" i="2"/>
  <c r="L273" i="2"/>
  <c r="C273" i="2"/>
  <c r="M272" i="2"/>
  <c r="L272" i="2"/>
  <c r="C272" i="2"/>
  <c r="M271" i="2"/>
  <c r="L271" i="2"/>
  <c r="C271" i="2"/>
  <c r="M270" i="2"/>
  <c r="L270" i="2"/>
  <c r="C270" i="2"/>
  <c r="M269" i="2"/>
  <c r="L269" i="2"/>
  <c r="C269" i="2"/>
  <c r="M268" i="2"/>
  <c r="L268" i="2"/>
  <c r="C268" i="2"/>
  <c r="M267" i="2"/>
  <c r="L267" i="2"/>
  <c r="C267" i="2"/>
  <c r="M266" i="2"/>
  <c r="L266" i="2"/>
  <c r="C266" i="2"/>
  <c r="M265" i="2"/>
  <c r="L265" i="2"/>
  <c r="C265" i="2"/>
  <c r="M264" i="2"/>
  <c r="L264" i="2"/>
  <c r="C264" i="2"/>
  <c r="M263" i="2"/>
  <c r="L263" i="2"/>
  <c r="C263" i="2"/>
  <c r="M262" i="2"/>
  <c r="L262" i="2"/>
  <c r="C262" i="2"/>
  <c r="M261" i="2"/>
  <c r="L261" i="2"/>
  <c r="C261" i="2"/>
  <c r="M260" i="2"/>
  <c r="L260" i="2"/>
  <c r="C260" i="2"/>
  <c r="M259" i="2"/>
  <c r="L259" i="2"/>
  <c r="C259" i="2"/>
  <c r="M258" i="2"/>
  <c r="L258" i="2"/>
  <c r="C258" i="2"/>
  <c r="M257" i="2"/>
  <c r="L257" i="2"/>
  <c r="C257" i="2"/>
  <c r="M256" i="2"/>
  <c r="L256" i="2"/>
  <c r="C256" i="2"/>
  <c r="M255" i="2"/>
  <c r="L255" i="2"/>
  <c r="C255" i="2"/>
  <c r="M254" i="2"/>
  <c r="L254" i="2"/>
  <c r="C254" i="2"/>
  <c r="M253" i="2"/>
  <c r="L253" i="2"/>
  <c r="C253" i="2"/>
  <c r="M252" i="2"/>
  <c r="L252" i="2"/>
  <c r="C252" i="2"/>
  <c r="M251" i="2"/>
  <c r="L251" i="2"/>
  <c r="C251" i="2"/>
  <c r="M250" i="2"/>
  <c r="L250" i="2"/>
  <c r="C250" i="2"/>
  <c r="M249" i="2"/>
  <c r="L249" i="2"/>
  <c r="C249" i="2"/>
  <c r="M248" i="2"/>
  <c r="L248" i="2"/>
  <c r="C248" i="2"/>
  <c r="M247" i="2"/>
  <c r="L247" i="2"/>
  <c r="C247" i="2"/>
  <c r="M246" i="2"/>
  <c r="L246" i="2"/>
  <c r="C246" i="2"/>
  <c r="M245" i="2"/>
  <c r="L245" i="2"/>
  <c r="C245" i="2"/>
  <c r="M244" i="2"/>
  <c r="L244" i="2"/>
  <c r="C244" i="2"/>
  <c r="M243" i="2"/>
  <c r="L243" i="2"/>
  <c r="C243" i="2"/>
  <c r="M242" i="2"/>
  <c r="L242" i="2"/>
  <c r="C242" i="2"/>
  <c r="M241" i="2"/>
  <c r="L241" i="2"/>
  <c r="C241" i="2"/>
  <c r="M240" i="2"/>
  <c r="L240" i="2"/>
  <c r="C240" i="2"/>
  <c r="M239" i="2"/>
  <c r="L239" i="2"/>
  <c r="C239" i="2"/>
  <c r="M238" i="2"/>
  <c r="L238" i="2"/>
  <c r="C238" i="2"/>
  <c r="M237" i="2"/>
  <c r="L237" i="2"/>
  <c r="C237" i="2"/>
  <c r="M236" i="2"/>
  <c r="L236" i="2"/>
  <c r="C236" i="2"/>
  <c r="M235" i="2"/>
  <c r="L235" i="2"/>
  <c r="C235" i="2"/>
  <c r="M234" i="2"/>
  <c r="L234" i="2"/>
  <c r="C234" i="2"/>
  <c r="M233" i="2"/>
  <c r="L233" i="2"/>
  <c r="C233" i="2"/>
  <c r="M232" i="2"/>
  <c r="L232" i="2"/>
  <c r="C232" i="2"/>
  <c r="M231" i="2"/>
  <c r="L231" i="2"/>
  <c r="C231" i="2"/>
  <c r="M230" i="2"/>
  <c r="L230" i="2"/>
  <c r="C230" i="2"/>
  <c r="M229" i="2"/>
  <c r="L229" i="2"/>
  <c r="C229" i="2"/>
  <c r="M228" i="2"/>
  <c r="L228" i="2"/>
  <c r="C228" i="2"/>
  <c r="M227" i="2"/>
  <c r="L227" i="2"/>
  <c r="C227" i="2"/>
  <c r="M226" i="2"/>
  <c r="L226" i="2"/>
  <c r="C226" i="2"/>
  <c r="M225" i="2"/>
  <c r="L225" i="2"/>
  <c r="C225" i="2"/>
  <c r="M224" i="2"/>
  <c r="L224" i="2"/>
  <c r="C224" i="2"/>
  <c r="M223" i="2"/>
  <c r="L223" i="2"/>
  <c r="C223" i="2"/>
  <c r="M222" i="2"/>
  <c r="L222" i="2"/>
  <c r="C222" i="2"/>
  <c r="M221" i="2"/>
  <c r="L221" i="2"/>
  <c r="C221" i="2"/>
  <c r="M220" i="2"/>
  <c r="L220" i="2"/>
  <c r="C220" i="2"/>
  <c r="M219" i="2"/>
  <c r="L219" i="2"/>
  <c r="C219" i="2"/>
  <c r="M218" i="2"/>
  <c r="L218" i="2"/>
  <c r="C218" i="2"/>
  <c r="M217" i="2"/>
  <c r="L217" i="2"/>
  <c r="C217" i="2"/>
  <c r="M216" i="2"/>
  <c r="L216" i="2"/>
  <c r="C216" i="2"/>
  <c r="M215" i="2"/>
  <c r="L215" i="2"/>
  <c r="C215" i="2"/>
  <c r="M214" i="2"/>
  <c r="L214" i="2"/>
  <c r="C214" i="2"/>
  <c r="M213" i="2"/>
  <c r="L213" i="2"/>
  <c r="C213" i="2"/>
  <c r="M212" i="2"/>
  <c r="L212" i="2"/>
  <c r="C212" i="2"/>
  <c r="M211" i="2"/>
  <c r="L211" i="2"/>
  <c r="C211" i="2"/>
  <c r="M210" i="2"/>
  <c r="L210" i="2"/>
  <c r="C210" i="2"/>
  <c r="M209" i="2"/>
  <c r="L209" i="2"/>
  <c r="C209" i="2"/>
  <c r="M208" i="2"/>
  <c r="L208" i="2"/>
  <c r="C208" i="2"/>
  <c r="M207" i="2"/>
  <c r="L207" i="2"/>
  <c r="C207" i="2"/>
  <c r="M206" i="2"/>
  <c r="L206" i="2"/>
  <c r="C206" i="2"/>
  <c r="M205" i="2"/>
  <c r="L205" i="2"/>
  <c r="C205" i="2"/>
  <c r="M204" i="2"/>
  <c r="L204" i="2"/>
  <c r="C204" i="2"/>
  <c r="M203" i="2"/>
  <c r="L203" i="2"/>
  <c r="C203" i="2"/>
  <c r="M202" i="2"/>
  <c r="L202" i="2"/>
  <c r="C202" i="2"/>
  <c r="M201" i="2"/>
  <c r="L201" i="2"/>
  <c r="C201" i="2"/>
  <c r="M200" i="2"/>
  <c r="L200" i="2"/>
  <c r="C200" i="2"/>
  <c r="M199" i="2"/>
  <c r="L199" i="2"/>
  <c r="C199" i="2"/>
  <c r="M198" i="2"/>
  <c r="L198" i="2"/>
  <c r="C198" i="2"/>
  <c r="M197" i="2"/>
  <c r="L197" i="2"/>
  <c r="C197" i="2"/>
  <c r="M196" i="2"/>
  <c r="L196" i="2"/>
  <c r="C196" i="2"/>
  <c r="M195" i="2"/>
  <c r="L195" i="2"/>
  <c r="C195" i="2"/>
  <c r="M194" i="2"/>
  <c r="L194" i="2"/>
  <c r="C194" i="2"/>
  <c r="M193" i="2"/>
  <c r="L193" i="2"/>
  <c r="C193" i="2"/>
  <c r="M192" i="2"/>
  <c r="L192" i="2"/>
  <c r="C192" i="2"/>
  <c r="M191" i="2"/>
  <c r="L191" i="2"/>
  <c r="C191" i="2"/>
  <c r="M190" i="2"/>
  <c r="L190" i="2"/>
  <c r="C190" i="2"/>
  <c r="M189" i="2"/>
  <c r="L189" i="2"/>
  <c r="C189" i="2"/>
  <c r="M188" i="2"/>
  <c r="L188" i="2"/>
  <c r="C188" i="2"/>
  <c r="M187" i="2"/>
  <c r="L187" i="2"/>
  <c r="C187" i="2"/>
  <c r="M186" i="2"/>
  <c r="L186" i="2"/>
  <c r="C186" i="2"/>
  <c r="M185" i="2"/>
  <c r="L185" i="2"/>
  <c r="C185" i="2"/>
  <c r="M184" i="2"/>
  <c r="L184" i="2"/>
  <c r="C184" i="2"/>
  <c r="M183" i="2"/>
  <c r="L183" i="2"/>
  <c r="C183" i="2"/>
  <c r="M182" i="2"/>
  <c r="L182" i="2"/>
  <c r="C182" i="2"/>
  <c r="M181" i="2"/>
  <c r="L181" i="2"/>
  <c r="C181" i="2"/>
  <c r="M180" i="2"/>
  <c r="L180" i="2"/>
  <c r="C180" i="2"/>
  <c r="M179" i="2"/>
  <c r="L179" i="2"/>
  <c r="C179" i="2"/>
  <c r="M178" i="2"/>
  <c r="L178" i="2"/>
  <c r="C178" i="2"/>
  <c r="M177" i="2"/>
  <c r="L177" i="2"/>
  <c r="C177" i="2"/>
  <c r="M176" i="2"/>
  <c r="L176" i="2"/>
  <c r="C176" i="2"/>
  <c r="M175" i="2"/>
  <c r="L175" i="2"/>
  <c r="C175" i="2"/>
  <c r="M174" i="2"/>
  <c r="L174" i="2"/>
  <c r="C174" i="2"/>
  <c r="M173" i="2"/>
  <c r="L173" i="2"/>
  <c r="C173" i="2"/>
  <c r="M172" i="2"/>
  <c r="L172" i="2"/>
  <c r="C172" i="2"/>
  <c r="M171" i="2"/>
  <c r="L171" i="2"/>
  <c r="C171" i="2"/>
  <c r="M170" i="2"/>
  <c r="L170" i="2"/>
  <c r="C170" i="2"/>
  <c r="M169" i="2"/>
  <c r="L169" i="2"/>
  <c r="C169" i="2"/>
  <c r="M168" i="2"/>
  <c r="L168" i="2"/>
  <c r="C168" i="2"/>
  <c r="M167" i="2"/>
  <c r="L167" i="2"/>
  <c r="C167" i="2"/>
  <c r="M166" i="2"/>
  <c r="L166" i="2"/>
  <c r="C166" i="2"/>
  <c r="M165" i="2"/>
  <c r="L165" i="2"/>
  <c r="C165" i="2"/>
  <c r="M164" i="2"/>
  <c r="L164" i="2"/>
  <c r="C164" i="2"/>
  <c r="M163" i="2"/>
  <c r="L163" i="2"/>
  <c r="C163" i="2"/>
  <c r="M162" i="2"/>
  <c r="L162" i="2"/>
  <c r="C162" i="2"/>
  <c r="M161" i="2"/>
  <c r="L161" i="2"/>
  <c r="C161" i="2"/>
  <c r="M160" i="2"/>
  <c r="L160" i="2"/>
  <c r="C160" i="2"/>
  <c r="M159" i="2"/>
  <c r="L159" i="2"/>
  <c r="C159" i="2"/>
  <c r="M158" i="2"/>
  <c r="L158" i="2"/>
  <c r="C158" i="2"/>
  <c r="M157" i="2"/>
  <c r="L157" i="2"/>
  <c r="C157" i="2"/>
  <c r="M156" i="2"/>
  <c r="L156" i="2"/>
  <c r="C156" i="2"/>
  <c r="M155" i="2"/>
  <c r="L155" i="2"/>
  <c r="C155" i="2"/>
  <c r="M154" i="2"/>
  <c r="L154" i="2"/>
  <c r="C154" i="2"/>
  <c r="M153" i="2"/>
  <c r="L153" i="2"/>
  <c r="C153" i="2"/>
  <c r="M152" i="2"/>
  <c r="L152" i="2"/>
  <c r="C152" i="2"/>
  <c r="M151" i="2"/>
  <c r="L151" i="2"/>
  <c r="C151" i="2"/>
  <c r="M150" i="2"/>
  <c r="L150" i="2"/>
  <c r="C150" i="2"/>
  <c r="M149" i="2"/>
  <c r="L149" i="2"/>
  <c r="C149" i="2"/>
  <c r="M148" i="2"/>
  <c r="L148" i="2"/>
  <c r="C148" i="2"/>
  <c r="M147" i="2"/>
  <c r="L147" i="2"/>
  <c r="C147" i="2"/>
  <c r="M146" i="2"/>
  <c r="L146" i="2"/>
  <c r="C146" i="2"/>
  <c r="M145" i="2"/>
  <c r="L145" i="2"/>
  <c r="C145" i="2"/>
  <c r="M144" i="2"/>
  <c r="L144" i="2"/>
  <c r="C144" i="2"/>
  <c r="M143" i="2"/>
  <c r="L143" i="2"/>
  <c r="C143" i="2"/>
  <c r="M142" i="2"/>
  <c r="L142" i="2"/>
  <c r="C142" i="2"/>
  <c r="M141" i="2"/>
  <c r="L141" i="2"/>
  <c r="C141" i="2"/>
  <c r="M140" i="2"/>
  <c r="L140" i="2"/>
  <c r="C140" i="2"/>
  <c r="M139" i="2"/>
  <c r="L139" i="2"/>
  <c r="C139" i="2"/>
  <c r="M138" i="2"/>
  <c r="L138" i="2"/>
  <c r="C138" i="2"/>
  <c r="M137" i="2"/>
  <c r="L137" i="2"/>
  <c r="C137" i="2"/>
  <c r="M136" i="2"/>
  <c r="L136" i="2"/>
  <c r="C136" i="2"/>
  <c r="M135" i="2"/>
  <c r="L135" i="2"/>
  <c r="C135" i="2"/>
  <c r="M134" i="2"/>
  <c r="L134" i="2"/>
  <c r="C134" i="2"/>
  <c r="M133" i="2"/>
  <c r="L133" i="2"/>
  <c r="C133" i="2"/>
  <c r="M132" i="2"/>
  <c r="L132" i="2"/>
  <c r="C132" i="2"/>
  <c r="M131" i="2"/>
  <c r="L131" i="2"/>
  <c r="C131" i="2"/>
  <c r="M130" i="2"/>
  <c r="L130" i="2"/>
  <c r="C130" i="2"/>
  <c r="M129" i="2"/>
  <c r="L129" i="2"/>
  <c r="C129" i="2"/>
  <c r="M128" i="2"/>
  <c r="L128" i="2"/>
  <c r="C128" i="2"/>
  <c r="M127" i="2"/>
  <c r="L127" i="2"/>
  <c r="C127" i="2"/>
  <c r="M126" i="2"/>
  <c r="L126" i="2"/>
  <c r="C126" i="2"/>
  <c r="M125" i="2"/>
  <c r="L125" i="2"/>
  <c r="C125" i="2"/>
  <c r="M124" i="2"/>
  <c r="L124" i="2"/>
  <c r="C124" i="2"/>
  <c r="M123" i="2"/>
  <c r="L123" i="2"/>
  <c r="C123" i="2"/>
  <c r="M122" i="2"/>
  <c r="L122" i="2"/>
  <c r="C122" i="2"/>
  <c r="M121" i="2"/>
  <c r="L121" i="2"/>
  <c r="C121" i="2"/>
  <c r="M120" i="2"/>
  <c r="L120" i="2"/>
  <c r="C120" i="2"/>
  <c r="M119" i="2"/>
  <c r="L119" i="2"/>
  <c r="C119" i="2"/>
  <c r="M118" i="2"/>
  <c r="L118" i="2"/>
  <c r="C118" i="2"/>
  <c r="M117" i="2"/>
  <c r="L117" i="2"/>
  <c r="C117" i="2"/>
  <c r="M116" i="2"/>
  <c r="L116" i="2"/>
  <c r="C116" i="2"/>
  <c r="M115" i="2"/>
  <c r="L115" i="2"/>
  <c r="C115" i="2"/>
  <c r="M114" i="2"/>
  <c r="L114" i="2"/>
  <c r="C114" i="2"/>
  <c r="M113" i="2"/>
  <c r="L113" i="2"/>
  <c r="C113" i="2"/>
  <c r="M112" i="2"/>
  <c r="L112" i="2"/>
  <c r="C112" i="2"/>
  <c r="M111" i="2"/>
  <c r="L111" i="2"/>
  <c r="C111" i="2"/>
  <c r="M110" i="2"/>
  <c r="L110" i="2"/>
  <c r="C110" i="2"/>
  <c r="M109" i="2"/>
  <c r="L109" i="2"/>
  <c r="C109" i="2"/>
  <c r="M108" i="2"/>
  <c r="L108" i="2"/>
  <c r="C108" i="2"/>
  <c r="M107" i="2"/>
  <c r="L107" i="2"/>
  <c r="C107" i="2"/>
  <c r="M106" i="2"/>
  <c r="L106" i="2"/>
  <c r="C106" i="2"/>
  <c r="M105" i="2"/>
  <c r="L105" i="2"/>
  <c r="C105" i="2"/>
  <c r="M104" i="2"/>
  <c r="L104" i="2"/>
  <c r="C104" i="2"/>
  <c r="M103" i="2"/>
  <c r="L103" i="2"/>
  <c r="C103" i="2"/>
  <c r="M102" i="2"/>
  <c r="L102" i="2"/>
  <c r="C102" i="2"/>
  <c r="M101" i="2"/>
  <c r="L101" i="2"/>
  <c r="C101" i="2"/>
  <c r="M100" i="2"/>
  <c r="L100" i="2"/>
  <c r="C100" i="2"/>
  <c r="M99" i="2"/>
  <c r="L99" i="2"/>
  <c r="C99" i="2"/>
  <c r="M98" i="2"/>
  <c r="L98" i="2"/>
  <c r="C98" i="2"/>
  <c r="M97" i="2"/>
  <c r="L97" i="2"/>
  <c r="C97" i="2"/>
  <c r="M96" i="2"/>
  <c r="L96" i="2"/>
  <c r="C96" i="2"/>
  <c r="M95" i="2"/>
  <c r="L95" i="2"/>
  <c r="C95" i="2"/>
  <c r="M94" i="2"/>
  <c r="L94" i="2"/>
  <c r="C94" i="2"/>
  <c r="M93" i="2"/>
  <c r="L93" i="2"/>
  <c r="C93" i="2"/>
  <c r="M92" i="2"/>
  <c r="L92" i="2"/>
  <c r="C92" i="2"/>
  <c r="M91" i="2"/>
  <c r="L91" i="2"/>
  <c r="C91" i="2"/>
  <c r="M90" i="2"/>
  <c r="L90" i="2"/>
  <c r="C90" i="2"/>
  <c r="M89" i="2"/>
  <c r="L89" i="2"/>
  <c r="C89" i="2"/>
  <c r="M88" i="2"/>
  <c r="L88" i="2"/>
  <c r="C88" i="2"/>
  <c r="M87" i="2"/>
  <c r="L87" i="2"/>
  <c r="C87" i="2"/>
  <c r="M86" i="2"/>
  <c r="L86" i="2"/>
  <c r="C86" i="2"/>
  <c r="M85" i="2"/>
  <c r="L85" i="2"/>
  <c r="C85" i="2"/>
  <c r="M84" i="2"/>
  <c r="L84" i="2"/>
  <c r="C84" i="2"/>
  <c r="M83" i="2"/>
  <c r="L83" i="2"/>
  <c r="C83" i="2"/>
  <c r="M82" i="2"/>
  <c r="L82" i="2"/>
  <c r="C82" i="2"/>
  <c r="M81" i="2"/>
  <c r="L81" i="2"/>
  <c r="C81" i="2"/>
  <c r="M80" i="2"/>
  <c r="L80" i="2"/>
  <c r="C80" i="2"/>
  <c r="M79" i="2"/>
  <c r="L79" i="2"/>
  <c r="C79" i="2"/>
  <c r="M78" i="2"/>
  <c r="L78" i="2"/>
  <c r="C78" i="2"/>
  <c r="M77" i="2"/>
  <c r="L77" i="2"/>
  <c r="C77" i="2"/>
  <c r="M76" i="2"/>
  <c r="L76" i="2"/>
  <c r="C76" i="2"/>
  <c r="M75" i="2"/>
  <c r="L75" i="2"/>
  <c r="C75" i="2"/>
  <c r="M74" i="2"/>
  <c r="L74" i="2"/>
  <c r="C74" i="2"/>
  <c r="M73" i="2"/>
  <c r="L73" i="2"/>
  <c r="C73" i="2"/>
  <c r="M72" i="2"/>
  <c r="L72" i="2"/>
  <c r="C72" i="2"/>
  <c r="M71" i="2"/>
  <c r="L71" i="2"/>
  <c r="C71" i="2"/>
  <c r="M70" i="2"/>
  <c r="L70" i="2"/>
  <c r="C70" i="2"/>
  <c r="M69" i="2"/>
  <c r="L69" i="2"/>
  <c r="C69" i="2"/>
  <c r="M68" i="2"/>
  <c r="L68" i="2"/>
  <c r="C68" i="2"/>
  <c r="M67" i="2"/>
  <c r="L67" i="2"/>
  <c r="C67" i="2"/>
  <c r="M66" i="2"/>
  <c r="L66" i="2"/>
  <c r="C66" i="2"/>
  <c r="M65" i="2"/>
  <c r="L65" i="2"/>
  <c r="C65" i="2"/>
  <c r="M64" i="2"/>
  <c r="L64" i="2"/>
  <c r="C64" i="2"/>
  <c r="M63" i="2"/>
  <c r="L63" i="2"/>
  <c r="C63" i="2"/>
  <c r="M62" i="2"/>
  <c r="L62" i="2"/>
  <c r="C62" i="2"/>
  <c r="M61" i="2"/>
  <c r="L61" i="2"/>
  <c r="C61" i="2"/>
  <c r="M60" i="2"/>
  <c r="L60" i="2"/>
  <c r="C60" i="2"/>
  <c r="M59" i="2"/>
  <c r="L59" i="2"/>
  <c r="C59" i="2"/>
  <c r="M58" i="2"/>
  <c r="L58" i="2"/>
  <c r="C58" i="2"/>
  <c r="M57" i="2"/>
  <c r="L57" i="2"/>
  <c r="C57" i="2"/>
  <c r="M56" i="2"/>
  <c r="L56" i="2"/>
  <c r="C56" i="2"/>
  <c r="M55" i="2"/>
  <c r="L55" i="2"/>
  <c r="C55" i="2"/>
  <c r="M54" i="2"/>
  <c r="L54" i="2"/>
  <c r="C54" i="2"/>
  <c r="M53" i="2"/>
  <c r="L53" i="2"/>
  <c r="C53" i="2"/>
  <c r="M52" i="2"/>
  <c r="L52" i="2"/>
  <c r="C52" i="2"/>
  <c r="M51" i="2"/>
  <c r="L51" i="2"/>
  <c r="C51" i="2"/>
  <c r="M50" i="2"/>
  <c r="L50" i="2"/>
  <c r="C50" i="2"/>
  <c r="M49" i="2"/>
  <c r="L49" i="2"/>
  <c r="C49" i="2"/>
  <c r="M48" i="2"/>
  <c r="L48" i="2"/>
  <c r="C48" i="2"/>
  <c r="M47" i="2"/>
  <c r="L47" i="2"/>
  <c r="C47" i="2"/>
  <c r="M46" i="2"/>
  <c r="L46" i="2"/>
  <c r="C46" i="2"/>
  <c r="M45" i="2"/>
  <c r="L45" i="2"/>
  <c r="C45" i="2"/>
  <c r="M44" i="2"/>
  <c r="L44" i="2"/>
  <c r="C44" i="2"/>
  <c r="M43" i="2"/>
  <c r="L43" i="2"/>
  <c r="C43" i="2"/>
  <c r="M42" i="2"/>
  <c r="L42" i="2"/>
  <c r="C42" i="2"/>
  <c r="M41" i="2"/>
  <c r="L41" i="2"/>
  <c r="C41" i="2"/>
  <c r="M40" i="2"/>
  <c r="L40" i="2"/>
  <c r="C40" i="2"/>
  <c r="M39" i="2"/>
  <c r="L39" i="2"/>
  <c r="C39" i="2"/>
  <c r="M38" i="2"/>
  <c r="L38" i="2"/>
  <c r="C38" i="2"/>
  <c r="M37" i="2"/>
  <c r="L37" i="2"/>
  <c r="C37" i="2"/>
  <c r="M36" i="2"/>
  <c r="L36" i="2"/>
  <c r="C36" i="2"/>
  <c r="M35" i="2"/>
  <c r="L35" i="2"/>
  <c r="C35" i="2"/>
  <c r="M34" i="2"/>
  <c r="L34" i="2"/>
  <c r="C34" i="2"/>
  <c r="M33" i="2"/>
  <c r="L33" i="2"/>
  <c r="C33" i="2"/>
  <c r="M32" i="2"/>
  <c r="L32" i="2"/>
  <c r="C32" i="2"/>
  <c r="M31" i="2"/>
  <c r="L31" i="2"/>
  <c r="C31" i="2"/>
  <c r="M30" i="2"/>
  <c r="L30" i="2"/>
  <c r="C30" i="2"/>
  <c r="M29" i="2"/>
  <c r="L29" i="2"/>
  <c r="C29" i="2"/>
  <c r="M28" i="2"/>
  <c r="L28" i="2"/>
  <c r="C28" i="2"/>
  <c r="M27" i="2"/>
  <c r="L27" i="2"/>
  <c r="C27" i="2"/>
  <c r="M26" i="2"/>
  <c r="L26" i="2"/>
  <c r="C26" i="2"/>
  <c r="M25" i="2"/>
  <c r="L25" i="2"/>
  <c r="C25" i="2"/>
  <c r="M24" i="2"/>
  <c r="L24" i="2"/>
  <c r="C24" i="2"/>
  <c r="M23" i="2"/>
  <c r="L23" i="2"/>
  <c r="C23" i="2"/>
  <c r="M22" i="2"/>
  <c r="L22" i="2"/>
  <c r="C22" i="2"/>
  <c r="M21" i="2"/>
  <c r="L21" i="2"/>
  <c r="C21" i="2"/>
  <c r="M20" i="2"/>
  <c r="L20" i="2"/>
  <c r="C20" i="2"/>
  <c r="M19" i="2"/>
  <c r="L19" i="2"/>
  <c r="C19" i="2"/>
  <c r="M18" i="2"/>
  <c r="L18" i="2"/>
  <c r="C18" i="2"/>
  <c r="M17" i="2"/>
  <c r="L17" i="2"/>
  <c r="C17" i="2"/>
  <c r="M16" i="2"/>
  <c r="L16" i="2"/>
  <c r="C16" i="2"/>
  <c r="M15" i="2"/>
  <c r="L15" i="2"/>
  <c r="C15" i="2"/>
  <c r="M14" i="2"/>
  <c r="L14" i="2"/>
  <c r="C14" i="2"/>
  <c r="M13" i="2"/>
  <c r="L13" i="2"/>
  <c r="C13" i="2"/>
  <c r="M12" i="2"/>
  <c r="L12" i="2"/>
  <c r="C12" i="2"/>
  <c r="M11" i="2"/>
  <c r="L11" i="2"/>
  <c r="C11" i="2"/>
  <c r="M10" i="2"/>
  <c r="L10" i="2"/>
  <c r="C10" i="2"/>
  <c r="M9" i="2"/>
  <c r="L9" i="2"/>
  <c r="C9" i="2"/>
  <c r="M8" i="2"/>
  <c r="L8" i="2"/>
  <c r="C8" i="2"/>
</calcChain>
</file>

<file path=xl/sharedStrings.xml><?xml version="1.0" encoding="utf-8"?>
<sst xmlns="http://schemas.openxmlformats.org/spreadsheetml/2006/main" count="1579" uniqueCount="648">
  <si>
    <t>Evidencijski broj nabave</t>
  </si>
  <si>
    <t>Predmet nabave</t>
  </si>
  <si>
    <t>CPV oznaka</t>
  </si>
  <si>
    <t>Procijenjena vrijednost nabave (bez PDV-a)</t>
  </si>
  <si>
    <t>Vrsta postupka (uključujući i jednostavnu nabavu)</t>
  </si>
  <si>
    <t>Posebni režim nabave</t>
  </si>
  <si>
    <t>Podjela na grupe</t>
  </si>
  <si>
    <t>Sklapa li se ugovor o javnoj nabavi ili okvirni sporazum</t>
  </si>
  <si>
    <t>Planirani početak postupka</t>
  </si>
  <si>
    <t>Planirano trajanje ugovora o javnoj nabavi ili okvirnog sporazuma</t>
  </si>
  <si>
    <t xml:space="preserve">Specifikacija predmeta nabave na način: </t>
  </si>
  <si>
    <t xml:space="preserve">robe, </t>
  </si>
  <si>
    <t xml:space="preserve">radovi, </t>
  </si>
  <si>
    <t>usluge</t>
  </si>
  <si>
    <t>Oznaka financijskog plana, odnosno Proračuna gdje su sredstva planirana, broj ugovora o financiranju</t>
  </si>
  <si>
    <t>Napomena</t>
  </si>
  <si>
    <t>046 ZAGREBAČKI VELESAJAM D.O.O.</t>
  </si>
  <si>
    <t>Jednostavna nabava</t>
  </si>
  <si>
    <t>VIJCI, ČAVLI I SPOJNI ELEMENTI</t>
  </si>
  <si>
    <t>Postupak jednostavne nabave</t>
  </si>
  <si>
    <t>Ne</t>
  </si>
  <si>
    <t>Robe</t>
  </si>
  <si>
    <t>027-1-2019-EBV</t>
  </si>
  <si>
    <t>RAZNI PREHRAMMBENI PROIZVODI I PIĆA</t>
  </si>
  <si>
    <t>027-2-2019-EBV</t>
  </si>
  <si>
    <t>KAVA I APARATI ZA PRIPREMU KAVE</t>
  </si>
  <si>
    <t>027-3-2019-EBV</t>
  </si>
  <si>
    <t>DRVENE PLOČE I PANELI</t>
  </si>
  <si>
    <t>027-4-2019-EBV</t>
  </si>
  <si>
    <t>PAPIRNA KONFEKCIJA ZA HIGIJENSKE POTREBE</t>
  </si>
  <si>
    <t>027-5-2019-EBV</t>
  </si>
  <si>
    <t>TAHOGRAF LISTIĆI</t>
  </si>
  <si>
    <t>027-6-2019-EBV</t>
  </si>
  <si>
    <t>ULJA I MAZIVA</t>
  </si>
  <si>
    <t>027-7-2019-EBV</t>
  </si>
  <si>
    <t>SANITETSKI MATERIJAL I PRIRUČNI LJEKOVI</t>
  </si>
  <si>
    <t>027-8-2019-EBV</t>
  </si>
  <si>
    <t>PRIBOR I SREDSTVA ZA PRANJE, ČIŠĆENJE I OSTALA SREDSTVA ZA OPĆU HIGIJENU</t>
  </si>
  <si>
    <t>027-9-2019-EBV</t>
  </si>
  <si>
    <t>POLIETILENSKE I SAMOLJEPIVE FOLIJE</t>
  </si>
  <si>
    <t>027-10-2019-EBV</t>
  </si>
  <si>
    <t>POLIKARBONATNE PLOČE (PANELI) I PRIBOR ZA MONTAŽU</t>
  </si>
  <si>
    <t>027-11-2019-EBV</t>
  </si>
  <si>
    <t>PVC I PLEXI PLOČE</t>
  </si>
  <si>
    <t>027-12-2019-EBV</t>
  </si>
  <si>
    <t>PVC ETUI, KORICE, FASCIKLI</t>
  </si>
  <si>
    <t>027-13-2019-EBV</t>
  </si>
  <si>
    <t>LJEPLJIVE TRAKE (OBOSTRANO LJPLJIVE, U BOJI ZA TEPIHE, SMEĐE, IZOLIR)</t>
  </si>
  <si>
    <t>027-14-2019-EBV</t>
  </si>
  <si>
    <t>KAPAFIX PLOČE</t>
  </si>
  <si>
    <t>027-15-2019-EBV</t>
  </si>
  <si>
    <t>BESKONTAKTNE BIANCO KARTICE, NUMERIRANE I KODIRANE, VOZNE, PARKING I PVC KARTICE</t>
  </si>
  <si>
    <t>027-16-2019-EBV</t>
  </si>
  <si>
    <t>PARKIRNE I PVC RFID KARTICE</t>
  </si>
  <si>
    <t>027-17-2019-EBV</t>
  </si>
  <si>
    <t>PRIBOR I POTROŠNI MATERIJAL ZA USISIVAĆE</t>
  </si>
  <si>
    <t>027-18-2019-EBV</t>
  </si>
  <si>
    <t>UREDSKI MATERIJAL</t>
  </si>
  <si>
    <t>027-19-2019-EBV</t>
  </si>
  <si>
    <t>POTROŠNI MATERIJAL ZA SOLVENTNI PRINTER</t>
  </si>
  <si>
    <t>027-20-2019-EBV</t>
  </si>
  <si>
    <t>REZERVNI DIJELOVI, POTROŠNI MATERIJAL I POPRAVAK PRINTERA ZEBRA</t>
  </si>
  <si>
    <t>027-21-2019-EBV</t>
  </si>
  <si>
    <t>TONERI I TINTE</t>
  </si>
  <si>
    <t>027-234-2019-EBV</t>
  </si>
  <si>
    <t>DIJELOVI "OCTANORM" KONSTRUKCIJE</t>
  </si>
  <si>
    <t>027-22-2019-EBV</t>
  </si>
  <si>
    <t>PEHARI, PLAKETE, MEDALJE I KUTIJE ZA PLAKETE I MEDALJE</t>
  </si>
  <si>
    <t>027-23-2019-EBV</t>
  </si>
  <si>
    <t>UKRASI I PROIZVODI ZA DEKORACIJU</t>
  </si>
  <si>
    <t>027-24-2019-EBV</t>
  </si>
  <si>
    <t>ID NARUKVICE ZA KONTROLU ULAZA</t>
  </si>
  <si>
    <t>027-25-2019-EBV</t>
  </si>
  <si>
    <t>NAFTNI DERIVATI</t>
  </si>
  <si>
    <t>027-27-2019-EBV</t>
  </si>
  <si>
    <t>SOL ZA POSIPANJE CESTA</t>
  </si>
  <si>
    <t>027-28-2019-EBV</t>
  </si>
  <si>
    <t>TKANINE, TAPETARSKI MATERIJAL I PRIBOR</t>
  </si>
  <si>
    <t>027-29-2019-EBV</t>
  </si>
  <si>
    <t>MREŽE, UŽAD I GURTNE</t>
  </si>
  <si>
    <t>027-30-2019-EBV</t>
  </si>
  <si>
    <t>DRVENA PILJENA GRAĐA</t>
  </si>
  <si>
    <t>027-31-2019-EBV</t>
  </si>
  <si>
    <t>DRVENA DRŽALA</t>
  </si>
  <si>
    <t>027-32-2019-EBV</t>
  </si>
  <si>
    <t>TEHNIČKI PLINOVI</t>
  </si>
  <si>
    <t>027-33-2019-EBV</t>
  </si>
  <si>
    <t>NATRIJEV HOIPOKLORID I KLORIT, SULFATNA (SUMPORNA) I SOLNA KISELINA</t>
  </si>
  <si>
    <t>027-34-2019-EBV</t>
  </si>
  <si>
    <t>RAZNA GNOJIVA</t>
  </si>
  <si>
    <t>027-35-2019-EBV</t>
  </si>
  <si>
    <t>SREDSTVA ZA ZAŠTITU BILJA</t>
  </si>
  <si>
    <t>027-36-2019-EBV</t>
  </si>
  <si>
    <t>BOJE I LAKOVI</t>
  </si>
  <si>
    <t>027-37-2019-EBV</t>
  </si>
  <si>
    <t>KIT MASE, LJEPILA I SPREJEVI</t>
  </si>
  <si>
    <t>027-38-2019-EBV</t>
  </si>
  <si>
    <t>NAJLONSKE NITI ZA TRAVOKOSILICE</t>
  </si>
  <si>
    <t>027-39-2019-EBV</t>
  </si>
  <si>
    <t>SREDSTVA ZA ODMAŠĆIVANJE, ČIŠĆENJE. ANTIKOROZIVNU ZAŠTITU I SKIDANJE PREMAZA</t>
  </si>
  <si>
    <t>027-40-2019-EBV</t>
  </si>
  <si>
    <t>PVC VEZICE I TIPLI</t>
  </si>
  <si>
    <t>027-41-2019-EBV</t>
  </si>
  <si>
    <t>BRUSNE I REZNE PLOČE, BRUSNI PAPIR I PLATNA</t>
  </si>
  <si>
    <t>027-42-2019-EBV</t>
  </si>
  <si>
    <t>ČELIČNA UŽAD, OPREMA I OSTALI PRIBOR</t>
  </si>
  <si>
    <t>027-43-2019-EBV</t>
  </si>
  <si>
    <t>ELEKTRODE I ŽICE ZA ZAVARIVANJE</t>
  </si>
  <si>
    <t>027-44-2019-EBV</t>
  </si>
  <si>
    <t>LJESTVE</t>
  </si>
  <si>
    <t>027-45-2019-EBV</t>
  </si>
  <si>
    <t>PRIBOR ZA ODRŽAVANJE HORTIKULTURE (CRIJEVA, NASTAVCI ZA CRIJEVA, PRSKALICE I SL.)</t>
  </si>
  <si>
    <t>027-46-2019-EBV</t>
  </si>
  <si>
    <t>BRAVARSKI MATERIJALI</t>
  </si>
  <si>
    <t>027-47-2019-EBV</t>
  </si>
  <si>
    <t>KLJUČEVI</t>
  </si>
  <si>
    <t>027-48-2019-EBV</t>
  </si>
  <si>
    <t>GRAĐEVINSKI MATERIJAL</t>
  </si>
  <si>
    <t>027-49-2019-EBV</t>
  </si>
  <si>
    <t>MATERIJAL ZA INSTALACIJU VODOVODA, KANALIZACIJE I CENTRALNOG GRIJANJA</t>
  </si>
  <si>
    <t>027-50-2019-EBV</t>
  </si>
  <si>
    <t>ELEKTROMATERIJAL</t>
  </si>
  <si>
    <t>027-51-2019-EBV</t>
  </si>
  <si>
    <t>AKUMULATORI I PRIBOR</t>
  </si>
  <si>
    <t>027-52-2019-EBV</t>
  </si>
  <si>
    <t>BICIKLI I REZERVNI DIJELOVI ZA BICIKLE</t>
  </si>
  <si>
    <t>027-53-2019-EBV</t>
  </si>
  <si>
    <t>GRIJAČI VODE (BOJLERI)</t>
  </si>
  <si>
    <t>027-54-2019-EBV</t>
  </si>
  <si>
    <t>RAZNI PROMIDŽBENI MATERIJAL ZA SAJMOVE I MANIFESTACIJE</t>
  </si>
  <si>
    <t>027-55-2019-EBV</t>
  </si>
  <si>
    <t>ZAKUP MEDIJSKOG PROSTORA NA REKLAMNIM PQNOIMA HRVATSKIH ŠUMA, OGRADI BOTANIČKOG VRTA I DISPLAYIMA U ZAGREBU</t>
  </si>
  <si>
    <t>Usluge</t>
  </si>
  <si>
    <t>027-56-2019-EBV</t>
  </si>
  <si>
    <t>ZAKUP MEDIJSKOG PROSTORA U TISKU, NA PORTALIMA I REKLAMNIM PANOIMA IZVAN ZAGREBA ZA SAJAM NAUTIKA I HOTEL I GASTROTEH, DANI LOVA I RIBOLOVA, DANI MASLINA</t>
  </si>
  <si>
    <t>027-57-2019-EBV</t>
  </si>
  <si>
    <t>ZAKUP MEDIJSKOG PROSTORA U TISKU, NA PORTALIMA I REKLAMNIM PANOIMA IZVAN ZAGREBA ZA SAJAM BEAUTY &amp; EXPO HAIR</t>
  </si>
  <si>
    <t>027-58-2019-EBV</t>
  </si>
  <si>
    <t>ZAKUP MEDIJSKOG PROSTORA U TISKU, NA PORTALIMA I REKLAMNIM PANOIMA IZVAN ZAGREBA ZA SAJAM INTERKLIMA, GRADITELJSTVO, INTERPROTEX, EMAT-ENERGETSKA UČINKOVITOST</t>
  </si>
  <si>
    <t>027-59-2019-EBV</t>
  </si>
  <si>
    <t>ZAKUP MEDIJSKOG PROSTORA U TISKU, NA PORTALIMA I REKLAMNIM PANOIMA IZVAN ZAGREBA ZA SAJAM PRAVO DOBA</t>
  </si>
  <si>
    <t>027-60-2019-EBV</t>
  </si>
  <si>
    <t>ZAKUP MEDIJSKOG PROSTORA U TISKU, NA PORTALIMA I REKLAMNIM PANOIMA IZVAN ZAGREBA ZA SAJAM INTERGRAFIKA, MODERNPAK, OGLAŠAVANJE</t>
  </si>
  <si>
    <t>027-61-2019-EBV</t>
  </si>
  <si>
    <t>ZAKUP MEDIJSKOG PROSTORA U TISKU, NA PORTALIMA I REKLAMNIM PANOIMA IZVAN ZAGREBA ZA SAJAM GROWING UP, IGRAČKE, ŠKOLSKA OPREMA I PRIBOR</t>
  </si>
  <si>
    <t>027-62-2019-EBV</t>
  </si>
  <si>
    <t>ZAKUP MEDIJSKOG PROSTORA U TISKU, NA PORTALIMA I REKLAMNIM PANOIMA IZVAN ZAGREBA ZA SAJMOVE HRANE I ZDRAVOG ŽIVLJENJA, SVJETSKI SAJAM OTOČNIH PROIZVODA</t>
  </si>
  <si>
    <t>027-63-2019-EBV</t>
  </si>
  <si>
    <t>ZAKUP MEDIJSKOG PROSTORA U TISKU, NA PORTALIMA I REKLAMNIM PANOIMA IZVAN ZAGREBA ZA SAJAM INTERLIBER, INOVA</t>
  </si>
  <si>
    <t>027-64-2019-EBV</t>
  </si>
  <si>
    <t>ZAKUP MEDIJSKOG PROSTORA U TISKU, NA PORTALIMA I REKLAMNIM PANOIMA IZVAN ZAGREBA ZA SAJAM INFOGAMER</t>
  </si>
  <si>
    <t>027-65-2019-EBV</t>
  </si>
  <si>
    <t>ZAKUP MEDIJSKOG PROSTORA U TISKU, NA PORTALIMA I REKLAMNIM PANOIMA IZVAN ZAGREBA ZA SAJAM POLJOPRIVREDE</t>
  </si>
  <si>
    <t>027-66-2019-EBV</t>
  </si>
  <si>
    <t>ZAKUP MEDIJSKOG PROSTORA U TISKU, NA PORTALIMA I REKLAMNIM PANOIMA IZVAN ZAGREBA ZA INSTITUCIONALNU PROPAGANDU</t>
  </si>
  <si>
    <t>027-67-2019-EBV</t>
  </si>
  <si>
    <t>ZAKUP MEDIJSKOG PROSTORA U TISKU, NA PORTALIMA I REKLAMNIM PANOIMA IZVAN ZAGREBA ZA SAJAM AMBIENTA</t>
  </si>
  <si>
    <t>027-68-2019-EBV</t>
  </si>
  <si>
    <t>ZAKUP MEDIJSKOG PROSTORA NA B1 PLAKATIMA U SREDSTVIMA JAVNOG PRIJEVOZA + AUTOBUSNI KOLODVOR</t>
  </si>
  <si>
    <t>027-69-2019-EBV</t>
  </si>
  <si>
    <t>USLUGA UMOŽAVANJA I GRAFIČKA OBRADA CD-A</t>
  </si>
  <si>
    <t>027-70-2019-EBV</t>
  </si>
  <si>
    <t>IZRADA IDEJNIH I IZVEDBENIH RJEŠENJA ZA POTREBE PROMIDŽBE</t>
  </si>
  <si>
    <t>027-71-2019-EBV</t>
  </si>
  <si>
    <t>PROMIDŽBENE TRAKE I NALJEPNICE</t>
  </si>
  <si>
    <t>027-72-2019-EBV</t>
  </si>
  <si>
    <t>ZAKUP MEDIJSKOG PROSTORA NA REKLAMNIM PANOIMA U ZRAČNOJ LUCI ZAGREB</t>
  </si>
  <si>
    <t>027-73-2019-EBV</t>
  </si>
  <si>
    <t>USLUGE PARKIRANJA (PARKIRALIŠNE KARTE)</t>
  </si>
  <si>
    <t>027-74-2019-EBV</t>
  </si>
  <si>
    <t>ISPITIVANJE VODE ZA PIĆE I OTPADNIH VODA</t>
  </si>
  <si>
    <t>027-75-2019-EBV</t>
  </si>
  <si>
    <t>PREVENTIVNA I OBVEZATNA PREVENTIVNA DEZINFEKCIJA , DEZINSEKCIJA I DERATIZACIJA</t>
  </si>
  <si>
    <t>027-76-2019-EBV</t>
  </si>
  <si>
    <t>DIMNJAČARSKE USLUGE ZA DIMNJAČARSKO PODRUČJE GRADA ZAGREBA</t>
  </si>
  <si>
    <t>027-77-2019-EBV</t>
  </si>
  <si>
    <t>LJKEČNIČKE USLUGE NA RAZNIM MANIFESTACIJAMA I USLUGE HITNE POMOĆI</t>
  </si>
  <si>
    <t>027-78-2019-EBV</t>
  </si>
  <si>
    <t>RAZNE ZDRAVSTVENE USLUGE</t>
  </si>
  <si>
    <t>027-79-2019-EBV</t>
  </si>
  <si>
    <t>MEĐUNARODNA REVIZIJA FKM</t>
  </si>
  <si>
    <t>027-80-2019-EBV</t>
  </si>
  <si>
    <t>ENERGETSKI PREGLED I ENERGETSKO CERTIFICIRANJE ZGRADA</t>
  </si>
  <si>
    <t>027-81-2019-EBV</t>
  </si>
  <si>
    <t>REVIZIJA FINANCIJSKIH IZVJEŠĆA</t>
  </si>
  <si>
    <t>027-82-2019-EBV</t>
  </si>
  <si>
    <t>ENERGETSKI PREGLED UNUTARNJE RASVJETE</t>
  </si>
  <si>
    <t>027-83-2019-EBV</t>
  </si>
  <si>
    <t>IZRADA PROCJENE TRŽIŠNE VRIJEDNOSTI GRAĐEVINSKIH OBJEKATA I ZEMLJIŠTA NA ZV-U</t>
  </si>
  <si>
    <t>027-84-2019-EBV</t>
  </si>
  <si>
    <t>USLUGA AKTUARA ZA IZRAČUN REZERVIRANJA PRAVA RADNIKA PO MRS-U ZA 2019 GODINU</t>
  </si>
  <si>
    <t>027-85-2019-EBV</t>
  </si>
  <si>
    <t>USLUGE OSIGURANJA OD ODGOVORNOSTI MANAGERA</t>
  </si>
  <si>
    <t>027-86-2019-EBV</t>
  </si>
  <si>
    <t>LICENCE AUTO CAD ALATA</t>
  </si>
  <si>
    <t>027-87-2019-EBV</t>
  </si>
  <si>
    <t>LICENCE PROGRAMA ZA DIZAJN I CRTANJE (LICENCE ADOBE ALATA)</t>
  </si>
  <si>
    <t>027-88-2019-EBV</t>
  </si>
  <si>
    <t>PRAVO KORIŠTENJA ON-LINE INTERNET PORTALA (POSLOVNA HRVATSKA)</t>
  </si>
  <si>
    <t>027-89-2019-EBV</t>
  </si>
  <si>
    <t>LICENCE PROGRAMSKE OPREME 3D STUDIO MAX</t>
  </si>
  <si>
    <t>027-90-2019-EBV</t>
  </si>
  <si>
    <t>ODRŽAVANJE ISTRUČNA PODRŠKA ZA RJEŠENJE ZA ZAŠTITNU POHRANU PODATAKA - HP</t>
  </si>
  <si>
    <t>027-91-2019-EBV</t>
  </si>
  <si>
    <t>ODRŽAVANJE I NADOGRADNJA INTERNET PREZENTACIJA ZV-A</t>
  </si>
  <si>
    <t>027-92-2019-EBV</t>
  </si>
  <si>
    <t>REDOVNI TEHNIČKI PREGLED VOZILA</t>
  </si>
  <si>
    <t>027-93-2019-EBV</t>
  </si>
  <si>
    <t>ODRŽAVANJE I NADOGRADNJA PROGRAMSKE I STROJNE OPREME INFORMACIJSKIH SUSTAVA "FORTRESS" I "ANURPP" (USLUGA KONFIGURACIJE)</t>
  </si>
  <si>
    <t>027-94-2019-EBV</t>
  </si>
  <si>
    <t>USLUGA NEKOMERCIJALNOG OGLAŠAVANJA</t>
  </si>
  <si>
    <t>027-95-2019-EBV</t>
  </si>
  <si>
    <t>FOTOGRAFSKE USLUGE</t>
  </si>
  <si>
    <t>027-96-2019-EBV</t>
  </si>
  <si>
    <t>USLUGE PREVOĐENJA</t>
  </si>
  <si>
    <t>027-98-2019-EBV</t>
  </si>
  <si>
    <t>ZASTAVE</t>
  </si>
  <si>
    <t>027-97-2019-EBV</t>
  </si>
  <si>
    <t>UNIFORME ZA ZAŠTITARE -ČUVARE</t>
  </si>
  <si>
    <t>027-99-2019-EBV</t>
  </si>
  <si>
    <t>UNIFORME VATROGASNE</t>
  </si>
  <si>
    <t>027-100-2019-EBV</t>
  </si>
  <si>
    <t>OSOBNA ZAŠTITNA SREDSTVA</t>
  </si>
  <si>
    <t>027-101-2019-EBV</t>
  </si>
  <si>
    <t>ZAŠTITNA OBUĆA</t>
  </si>
  <si>
    <t>027-102-2019-EBV</t>
  </si>
  <si>
    <t>AUTO GUME</t>
  </si>
  <si>
    <t>027-103-2019-EBV</t>
  </si>
  <si>
    <t>VATROGASNI APARATI I PROTUPOŽARNA OPREMA</t>
  </si>
  <si>
    <t>027-104-2019-EBV</t>
  </si>
  <si>
    <t>RUČNI ALATI ZA POLJOPRIVREDU I HORTIKULTURU</t>
  </si>
  <si>
    <t>027-105-2019-EBV</t>
  </si>
  <si>
    <t>RUČNI NEELEKTRIČNI ALATI</t>
  </si>
  <si>
    <t>027-106-2019-EBV</t>
  </si>
  <si>
    <t>RUČNI ELEKTRIČNI ALAT</t>
  </si>
  <si>
    <t>027-107-2019-EBV</t>
  </si>
  <si>
    <t>RAČUNALNA OPREMA</t>
  </si>
  <si>
    <t>027-108-2019-EBV</t>
  </si>
  <si>
    <t>UREĐAJI ZA SKENIRANJE I DIGITALIZACIJU DOKUMENATA</t>
  </si>
  <si>
    <t>027-109-2019-EBV</t>
  </si>
  <si>
    <t>ICT KOMPONENTE</t>
  </si>
  <si>
    <t>027-110-2019-EBV</t>
  </si>
  <si>
    <t>UGOSTITELJSKA GALANTERIJA OD KERAMIKE, PORCULANA I STAKLA</t>
  </si>
  <si>
    <t>027-111-2019-EBV</t>
  </si>
  <si>
    <t>NAJAM OSOBNIH VOZILA</t>
  </si>
  <si>
    <t>027-112-2019-EBV</t>
  </si>
  <si>
    <t>POŠTANSKE USLUGE (+KURIRSKE USLUGE 43.000,00 KN)</t>
  </si>
  <si>
    <t>027-113-2019-EBV</t>
  </si>
  <si>
    <t>USLUGE U POKRETNOJ ELEKTRONIČKOJ KOMUNIKACIJSKOJ MREŽI (MOBITELI)</t>
  </si>
  <si>
    <t>027-114-2019-EBV</t>
  </si>
  <si>
    <t>USLUGA IZRADE PRIVREMENIH VODOVODNIH PRIKLJUČAKA OD FLEKSIBILNIH CIJEVI ZA POTREBE SAJMOVA</t>
  </si>
  <si>
    <t>Radovi</t>
  </si>
  <si>
    <t>027-115-2019-EBV</t>
  </si>
  <si>
    <t>INSTALIRANJE TELEKOMUNIKACIJSKE OPREME</t>
  </si>
  <si>
    <t>027-116-2019-EBV</t>
  </si>
  <si>
    <t>STOLARSKI RADOVI I POSTAVLJANJE STOLARIJE</t>
  </si>
  <si>
    <t>027-117-2019-EBV</t>
  </si>
  <si>
    <t>SOBOSLIKARSKO-LIČILAČKI RADOVI</t>
  </si>
  <si>
    <t>027-118-2019-EBV</t>
  </si>
  <si>
    <t>USLUGA OZVUČENJA I SCENSKE RASVJETE</t>
  </si>
  <si>
    <t>027-119-2019-EBV</t>
  </si>
  <si>
    <t>POLAGANJE TEPIHA ZA POTREBE SAJAMSKIH PRIREDBI I DOGAĐANJA</t>
  </si>
  <si>
    <t>027-121-2019-EBV</t>
  </si>
  <si>
    <t>NAJAM FOTOKOPIRNIH STROJEVA</t>
  </si>
  <si>
    <t>027-122-2019-EBV</t>
  </si>
  <si>
    <t>NAJAM AUDIO, VIDEO I SCENSKE OPREME</t>
  </si>
  <si>
    <t>027-123-2019-EBV</t>
  </si>
  <si>
    <t>NAJAM ELEKTRONIČKOG SUSTAVA ZA GLASANJE</t>
  </si>
  <si>
    <t>027-124-2019-EBV</t>
  </si>
  <si>
    <t>NAJAM SCENOGRAFIJE I NANJEŠTAJA ZA POTREBE SAJMOVA I DOGAĐANJA</t>
  </si>
  <si>
    <t>027-126-2019-EBV</t>
  </si>
  <si>
    <t>NAJAM MONTAŽNE OGRADE</t>
  </si>
  <si>
    <t>027-127-2019-EBV</t>
  </si>
  <si>
    <t>NAJAM OSOBNIH I DOSTAVNIH VOZILA PUTEM OPERATIVNOG LEASINGA</t>
  </si>
  <si>
    <t>027-128-2019-EBV</t>
  </si>
  <si>
    <t>USLUGA SUORGANIZACIJE STRUČNOG I PRATEČEG PROGRAMA U PREZENTACIJI SAJMOVA ZV-A</t>
  </si>
  <si>
    <t>027-129-2019-EBV</t>
  </si>
  <si>
    <t>USLUGA SUORGANIZACIJE NA PROJEKTU "AKADEMIJA 110" - OBLJETNICA ZAGREBAČKOG VELESAJMA</t>
  </si>
  <si>
    <t>027-130-2019-EBV</t>
  </si>
  <si>
    <t>USLUGE PRIVREMENOG ZAPOŠLJAVANJA RADNIKA</t>
  </si>
  <si>
    <t>027-131-2019-EBV</t>
  </si>
  <si>
    <t>USLUGE SAVJETOVANJA NA PODRUČJU RAZVOJA POSSLOVANJA</t>
  </si>
  <si>
    <t>027-132-2019-EBV</t>
  </si>
  <si>
    <t>USLUGE UMJETNIČKOG I REPRODUKTIVNOG IZVOĐENJA ZA MANIFESTACIJE ZAGREBAČKOG VELESAJMA</t>
  </si>
  <si>
    <t>027-133-2019-EBV</t>
  </si>
  <si>
    <t>USLUGE POREZNOG SAVJETOVANJA</t>
  </si>
  <si>
    <t>027-134-2019-EBV</t>
  </si>
  <si>
    <t>CVIJEĆE I CVIJETNI ARANŽMANI</t>
  </si>
  <si>
    <t>027-135-2019-EBV</t>
  </si>
  <si>
    <t>USLUGA IZRADE SCENOGRAFIJE ZA POTREBE SAJMOVA I DOGAĐANJA</t>
  </si>
  <si>
    <t>027-136-2019-EBV</t>
  </si>
  <si>
    <t>OSPOSOBLJAVANJE ZAPOSLENIKA IZ PODRUČJA ZAŠTITE NA RADU I ZAŠTITE OD POŽARA</t>
  </si>
  <si>
    <t>027-137-2019-EBV</t>
  </si>
  <si>
    <t>IZOBRAZBA U PODRUČJU INFORMATIKE I JAVNE NABAVE</t>
  </si>
  <si>
    <t>027-138-2019-EBV</t>
  </si>
  <si>
    <t>USLUGA STRUČNOG OSPOSOBLJAVANJA I IZOBRAZBE</t>
  </si>
  <si>
    <t>027-139-2019-EBV</t>
  </si>
  <si>
    <t>IZOBRAZBA U PODRUČJU GRAĐEVINARSTVA, STROJARSTVA I MJERITELJSTVA</t>
  </si>
  <si>
    <t>027-140-2019-EBV</t>
  </si>
  <si>
    <t>USLUGA STRELJANE - VJEŽBE BOJEVOG GAĐANJA</t>
  </si>
  <si>
    <t>027-141-2019-EBV</t>
  </si>
  <si>
    <t>OSPOSOBLJAVANJE ZAPOSLENIKA ZA PRUŽANJE PRVE POMOĆI</t>
  </si>
  <si>
    <t>027-142-2019-EBV</t>
  </si>
  <si>
    <t>RESTORANTSKE USLUGE</t>
  </si>
  <si>
    <t>027-143-2019-EBV</t>
  </si>
  <si>
    <t>TISKOVINE</t>
  </si>
  <si>
    <t>027-144-2019-EBV</t>
  </si>
  <si>
    <t>STRUČNE KNJIGE, ČASOPISI I KATALOZI</t>
  </si>
  <si>
    <t>027-145-2019-EBV</t>
  </si>
  <si>
    <t>IZRADA PRESS CLIPPING-A S ISPORUKOM SELEKTIRANIH ČLANAKA</t>
  </si>
  <si>
    <t>027-146-2019-EBV</t>
  </si>
  <si>
    <t>GODIŠNJA PRETPLATA ZA KORIŠTENJE PODATAKA IUS-INFO PROFESSIONAL</t>
  </si>
  <si>
    <t>027-147-2019-EBV</t>
  </si>
  <si>
    <t>CVIJEĆE, CVIJETNI ARANŽMANI, LONČANICE, SADNICE, TRESET I OSTALO</t>
  </si>
  <si>
    <t>027-148-2019-EBV</t>
  </si>
  <si>
    <t>STAKLO, STAKLARSKI MATERIJAL I STAKLARSKE USLUGE</t>
  </si>
  <si>
    <t>027-149-2019-EBV</t>
  </si>
  <si>
    <t>INDUSTRIJSKA, SEKCIJSKA, ROLO I GARAŽNA VRATA S UGRADNJOM</t>
  </si>
  <si>
    <t>027-150-2019-EBV</t>
  </si>
  <si>
    <t>PROMETNI ZNAKOVI</t>
  </si>
  <si>
    <t>027-151-2019-EBV</t>
  </si>
  <si>
    <t>USLUGE POPRAVAKA I ODRŽAVANJA VILIČARA</t>
  </si>
  <si>
    <t>027-152-2019-EBV</t>
  </si>
  <si>
    <t>REZERVNI DIJELOVI I POPRAVAK DIZALICE PROIZVOĐAČA ROTARY, BLITZ ISTOBALL</t>
  </si>
  <si>
    <t>027-153-2019-EBV</t>
  </si>
  <si>
    <t>USLUGE ODRŽAVANJA I POPRAVAK RAZNIH STROJEVA</t>
  </si>
  <si>
    <t>027-154-2019-EBV</t>
  </si>
  <si>
    <t>REZERVNI DIJELOVI I POPRAVAK TRAKTORA , POLJOPRIVREDNIH STROJEVA I OSTALE PRIKLJUČNE OPREME</t>
  </si>
  <si>
    <t>027-155-2019-EBV</t>
  </si>
  <si>
    <t>REZERVNI DIJELOVI I POPRAVAK APARATA ZA ZAVARIVANJE</t>
  </si>
  <si>
    <t>027-156-2019-EBV</t>
  </si>
  <si>
    <t>REZERVNI DIJELOVI I POPRAVAK RUČNIH ELEKTRIČNIH APARATA</t>
  </si>
  <si>
    <t>027-157-2019-EBV</t>
  </si>
  <si>
    <t>REZERVNI DIJELOVI, POTROŠNI MATERIJAL I POPRAVAK DIGITALNOG UMNOŽIVAČA RISO</t>
  </si>
  <si>
    <t>027-158-2019-EBV</t>
  </si>
  <si>
    <t>POPRAVAK I ODRŽAVANJE REGISTARSKIH BLAGAJNI</t>
  </si>
  <si>
    <t>027-159-2019-EBV</t>
  </si>
  <si>
    <t>REZERVNI DIJELOVI I POPRAVAK SOLVENTNOG PRINTERA</t>
  </si>
  <si>
    <t>027-160-2019-EBV</t>
  </si>
  <si>
    <t>DIJELOVI I ODRŽAVANJE ELEKTROMEHANIČKIH I ELEKTROHIDRAULIČKIH RAMPI</t>
  </si>
  <si>
    <t>027-161-2019-EBV</t>
  </si>
  <si>
    <t>SERVIS I REZERVNI DIJELOVI RADIO STANICA</t>
  </si>
  <si>
    <t>027-162-2019-EBV</t>
  </si>
  <si>
    <t>KALORIMETRI S UGRADNJOM</t>
  </si>
  <si>
    <t>027-163-2019-EBV</t>
  </si>
  <si>
    <t>USLUGA ODRŽAVANJA I POPRAVKA OSOBNIH AUTOMOBILA</t>
  </si>
  <si>
    <t>027-164-2019-EBV</t>
  </si>
  <si>
    <t>ISPUŠNI LONCI I CIJEVI I MONTAŽA</t>
  </si>
  <si>
    <t>027-165-2019-EBV</t>
  </si>
  <si>
    <t>REZERVNI DIJELOVI. POPRAVAK I SERVIS ZA SKUTERE, MOTOCIKLE I BICIKLE</t>
  </si>
  <si>
    <t>027-167-2019-EBV</t>
  </si>
  <si>
    <t>INTERVENTNI RADOVI NA SANACIJI KVAROVA NA ENERGETSKIM PODZEMNIM KABLOVIMA</t>
  </si>
  <si>
    <t>027-168-2019-EBV</t>
  </si>
  <si>
    <t>SANACIJA PJEŠAĆKIH ZONA</t>
  </si>
  <si>
    <t>027-170-2019-EBV</t>
  </si>
  <si>
    <t>VODOINSTALATERSKI RADOVI</t>
  </si>
  <si>
    <t>027-171-2019-EBV</t>
  </si>
  <si>
    <t>SANACIJA I REKONSTRUKCIJA ELEKTROINSTALACIJA, NN RAZVODNIH ORMARA I PLOČA NA ZV-U</t>
  </si>
  <si>
    <t>027-172-2019-EBV</t>
  </si>
  <si>
    <t>UGRADNJA KONTROLNIH VODOMJERA</t>
  </si>
  <si>
    <t>027-173-2019-EBV</t>
  </si>
  <si>
    <t>ZAVRŠNI GRAĐEVINSKO OBRTNIČKI RADOVI</t>
  </si>
  <si>
    <t>027-174-2019-EBV</t>
  </si>
  <si>
    <t>027-175-2019-EBV</t>
  </si>
  <si>
    <t>KERAMIČARSKI RADOVI</t>
  </si>
  <si>
    <t>027-176-2019-EBV</t>
  </si>
  <si>
    <t>POSTAVLJANJE PODOVA I PODNIH OBLOGA</t>
  </si>
  <si>
    <t>027-177-2019-EBV</t>
  </si>
  <si>
    <t>027-178-2019-EBV</t>
  </si>
  <si>
    <t>PRANJE I KEMIJSKO ČIŠĆENJE VOZILA</t>
  </si>
  <si>
    <t>027-179-2019-EBV</t>
  </si>
  <si>
    <t>LAKIRANJE VOZILA U TERMOLAKIRNICI</t>
  </si>
  <si>
    <t>027-180-2019-EBV</t>
  </si>
  <si>
    <t>USLUGA POPRAVAKA I ODRŽAVANJA TERETNIH VOZILA</t>
  </si>
  <si>
    <t>027-182-2019-EBV</t>
  </si>
  <si>
    <t>VULKANIZERSKE USLUGE</t>
  </si>
  <si>
    <t>027-181-2019-EBV</t>
  </si>
  <si>
    <t>TAPETARSKI POPRAVCI U GOSPODARSKIM VOZILIMA (SJEDALA, ZAVJESA, PODNIH OBLOGA, CERADA)</t>
  </si>
  <si>
    <t>027-183-2019-EBV</t>
  </si>
  <si>
    <t>POPRAVAK I REZERVNI DIJELOVI HIDRAULIKE I NADOGRADNJE SPECIJALNIH VOZILA</t>
  </si>
  <si>
    <t>027-184-2019-EBV</t>
  </si>
  <si>
    <t>POPRAVAK, REZERVNI DIJELOVI I POTROŠNI MATERIJAL RAZNE UREDSKE OPREME</t>
  </si>
  <si>
    <t>027-185-2019-EBV</t>
  </si>
  <si>
    <t>ODRŽAVANJE I POPRAVAK RAČUNALNE OPREME</t>
  </si>
  <si>
    <t>027-186-2019-EBV</t>
  </si>
  <si>
    <t>USLUGE POPRAVAKA I ODRŽAVANJA TELEKOMUNIKACIJSKIH VODOVA</t>
  </si>
  <si>
    <t>027-187-2019-EBV</t>
  </si>
  <si>
    <t>ODRŽAVANJE I POPRAVAK GSM OPREME</t>
  </si>
  <si>
    <t>027-188-2019-EBV</t>
  </si>
  <si>
    <t>POPRAVAK TELEKOMUNIKACIJSKE OPREME</t>
  </si>
  <si>
    <t>027-189-2019-EBV</t>
  </si>
  <si>
    <t>USLUGA POPRAVKA I ODRŽAVANJA AUDIOVIZUALNE I OPTIČKE OPREME</t>
  </si>
  <si>
    <t>027-190-2019-EBV</t>
  </si>
  <si>
    <t>ODRŽAVANJE I POPRAVAK RAZGLASA I RAZGLASNE OPREME</t>
  </si>
  <si>
    <t>027-191-2019-EBV</t>
  </si>
  <si>
    <t>SERVIS, ODRŽAVANJE, POPRAVAK I UMJERAVANJE OPREME DRAGER SAFETY I OSTALIH MJERNIH INSTRUMENATA</t>
  </si>
  <si>
    <t>027-192-2019-EBV</t>
  </si>
  <si>
    <t>SERVIS I POPRAVAK APARATAZA KLOR-DIOXID MARKE BELLO-ZON</t>
  </si>
  <si>
    <t>027-193-2019-EBV</t>
  </si>
  <si>
    <t>PROVJERA ISPRAVNOSTI STABILNOG SUSTAVA ZA DOJAVU POŽARA</t>
  </si>
  <si>
    <t>027-194-2019-EBV</t>
  </si>
  <si>
    <t>USLUGA UMJERAVANJA TAHOGRAFA I ODRŽAVANJE, POPRAVAK I PRIPREMA MJERILA MASE ZA OVJERAVANJE</t>
  </si>
  <si>
    <t>027-195-2019-EBV</t>
  </si>
  <si>
    <t>BAŽDARENJE INDUKTIVNIH I ELEKTRONSKIH BROJILA UTROŠKA ELEKTRIČNE ENERGIJE ZA OBRAČUN KUPCIMA NA ZAGREBAČKOM VELESAJMU</t>
  </si>
  <si>
    <t>027-196-2019-EBV</t>
  </si>
  <si>
    <t>POPRAVAK I ODRŽAVANJE CRPKI</t>
  </si>
  <si>
    <t>027-197-2019-EBV</t>
  </si>
  <si>
    <t>ODRŽAVANJE POSTROJENJA VODOCRPNE STANICE ZAGREBAČKOG VELESAJMA</t>
  </si>
  <si>
    <t>027-198-2019-EBV</t>
  </si>
  <si>
    <t>ODRŽAVANJE, POPRAVAK I REZERVNI DIJELOVI KOMPRESORA RAZNIH PROIZVOĐAČA</t>
  </si>
  <si>
    <t>027-199-2019-EBV</t>
  </si>
  <si>
    <t>POPRAVAK, SERVIS I REZERVNI DIJELOVI CRPNIH POSTROJENJA I AUTOMATIKE DIZEL AGREGATA ZA NUŽNO NAPAJANJE</t>
  </si>
  <si>
    <t>027-200-2019-EBV</t>
  </si>
  <si>
    <t>POPRAVAK I ODRŽAVANJE ELEKTROMOTORA</t>
  </si>
  <si>
    <t>027-201-2019-EBV</t>
  </si>
  <si>
    <t>POPRAVAK I REZERVNI DIJELOVI OPREME ZA ČIŠĆENJE I USISIVAČA</t>
  </si>
  <si>
    <t>027-202-2019-EBV</t>
  </si>
  <si>
    <t>ODRŽAVANJE I POPRAVAK POMIČNIH VRATA I STIJENA I INDUSTRIJSKIH SEKCIJSKIH VRATA</t>
  </si>
  <si>
    <t>027-203-2019-EBV</t>
  </si>
  <si>
    <t>ODRŽAVANJE I POPRAVAK KLIZNIH VRATA</t>
  </si>
  <si>
    <t>027-204-2019-EBV</t>
  </si>
  <si>
    <t>HITNE INTERVENCIJE NA VODOVODNIM I KANALIZACIJSKIM INSTALACIJAMA</t>
  </si>
  <si>
    <t>027-205-2019-EBV</t>
  </si>
  <si>
    <t>DOBAVA, INSTALACIJA I ODRŽAVANJE VENTILACIJSKIH SUSTAVA</t>
  </si>
  <si>
    <t>027-206-2019-EBV</t>
  </si>
  <si>
    <t>HITNE INTERVENCIJE NA ELEKTRIČNIM INSTALACIJAMA</t>
  </si>
  <si>
    <t>027-207-2019-EBV</t>
  </si>
  <si>
    <t>ODRŽAVANJE I POPRAVAK SUSTAVA ZA HLAĐENJE I GRIJANJE KONGRESNE DVORANE ZAGREBAČKOG VELESAJMA</t>
  </si>
  <si>
    <t>027-208-2019-EBV</t>
  </si>
  <si>
    <t>HITNE INTERVENCIJE NA INSTALACIJAMA CENTRALNOG GRIJANJA</t>
  </si>
  <si>
    <t>027-210-2019-EBV</t>
  </si>
  <si>
    <t>USLUGE POPRAVAKA I ODRŽAVANJA CENTRALNOG GRIJANJA I HLAĐENJA</t>
  </si>
  <si>
    <t>027-209-2019-EBV</t>
  </si>
  <si>
    <t>ODRŽAVANJE I POPRAVAK KLIMA UREĐAJA I DRUGE RASHLADNE OPREME</t>
  </si>
  <si>
    <t>027-211-2019-EBV</t>
  </si>
  <si>
    <t>POPRAVAK , SERVIS SAMOHODNE PODIZNE ŠKARASTE ELEKTRIČNE PLATFORME</t>
  </si>
  <si>
    <t>027-212-2019-EBV</t>
  </si>
  <si>
    <t>POPRAVAK I REDOVNO ODRŽAVANJE DIZALA</t>
  </si>
  <si>
    <t>027-213-2019-EBV</t>
  </si>
  <si>
    <t>POPRAVAK I REDOVNO ODRŽAVANJE POKRETNIH STUBA, PODIZNIH PLATFORMI I IZVLAČNIH LJESTVI</t>
  </si>
  <si>
    <t>027-214-2019-EBV</t>
  </si>
  <si>
    <t>POPRAVAK I ODRŽAVANJE UGOSTITELJSKE OPREME</t>
  </si>
  <si>
    <t>027-215-2019-EBV</t>
  </si>
  <si>
    <t>KONSOLIDACIJA I ODRŽAVANJE SISTEMSKOG I APLIKATIVNOG INFORMATIČKOG SUSTAVA MAC OS ZA NAKLADNIŠTVO ZV-A</t>
  </si>
  <si>
    <t>027-216-2019-EBV</t>
  </si>
  <si>
    <t>ODRŽAVANJE I NADOGRADNJA PROGRAMSKE I STROJNE OPREME INFORMACIJSKIH SUSTAVA "FORTRESS" I "ANURPP"</t>
  </si>
  <si>
    <t>027-217-2019-EBV</t>
  </si>
  <si>
    <t>SERVIS PROTUPOŽARNIH APARATA</t>
  </si>
  <si>
    <t>027-218-2019-EBV</t>
  </si>
  <si>
    <t>PERIODIČNI TEHNIČKI PREGLED VOZILA I SPECIJALISTIČKI PREGLED KOČNICA</t>
  </si>
  <si>
    <t>027-219-2019-EBV</t>
  </si>
  <si>
    <t>OBAVEZNA PERIODIČNA ISPITIVANJA SUKLADNO ZAKONU ZNR, ZOP I ZAKONU O MJERITELJSTVU I OSTALA ISPITIVANJA I PREGLEDI</t>
  </si>
  <si>
    <t>027-220-2019-EBV</t>
  </si>
  <si>
    <t>REDOVNI I IZVANREDNI PREGLED DIZALA</t>
  </si>
  <si>
    <t>027-221-2019-EBV</t>
  </si>
  <si>
    <t>REVIZIJA TRAFOSTANICA</t>
  </si>
  <si>
    <t>027-222-2019-EBV</t>
  </si>
  <si>
    <t>DEZINFEKCIJA I KEMIJSKO ČIŠĆENJE KLIMA , VE97300NTILACIJSKIH SUSTAVA I KUHINJSKIH UREĐAJA UZ KONTROLU MIKROBIOLOŠKE ČISTOĆE ZRAKA</t>
  </si>
  <si>
    <t>027-223-2019-EBV</t>
  </si>
  <si>
    <t>ODRŽAVANJE SUSTAVA AUTOMATSKOG NAVODNJAVANJA VRTOVA I PARKOVA</t>
  </si>
  <si>
    <t>027-224-2019-EBV</t>
  </si>
  <si>
    <t>HORTIKULTURNO UREĐENJE OBJEKATA ZAGREBAČKOG VELESAJMA</t>
  </si>
  <si>
    <t>027-225-2019-EBV</t>
  </si>
  <si>
    <t>ČIŠĆENJE SEPARATORA, MASTOLOVACA I MULJA, KANALA I SLIVNIKA</t>
  </si>
  <si>
    <t>027-226-2019-EBV</t>
  </si>
  <si>
    <t>KEMIJSKO ČIŠĆENJE, PRANJE I GLAČANJE ODJEĆE I OSTALIH TKANINA</t>
  </si>
  <si>
    <t>027-227-2019-EBV</t>
  </si>
  <si>
    <t>TAPETARSKE USLUGE</t>
  </si>
  <si>
    <t>027-228-2019-EBV</t>
  </si>
  <si>
    <t>USLUGA BRUŠENJA RADIONIČKIH NOŽEVA I PILA</t>
  </si>
  <si>
    <t>027-229-2019-EBV</t>
  </si>
  <si>
    <t>BRAVARSKE USLUGE</t>
  </si>
  <si>
    <t>027-230-2019-EBV</t>
  </si>
  <si>
    <t>027-231-2019-EBV</t>
  </si>
  <si>
    <t>SANITARNI MATERIJAL</t>
  </si>
  <si>
    <t>027-233-2019-EBV</t>
  </si>
  <si>
    <t>USLUGE SAVJETOVANJA NA PODRUČJU ODNOSA S JAVNOŠĆU</t>
  </si>
  <si>
    <t>027-235-2019-EBV</t>
  </si>
  <si>
    <t>TEPISI I PRIBOR</t>
  </si>
  <si>
    <t>027-236-2019-EBV</t>
  </si>
  <si>
    <t>GODIŠNJA PRETPLATA ZA KORIŠTENJE INTERNET SERVISA JEDINSTVENOG REGISTRA POSLOVNIH SUBJEKATA</t>
  </si>
  <si>
    <t>027-237-2019-EBV</t>
  </si>
  <si>
    <t>PODNE OBLOGE (LINOLEUM, LAMINAT...)</t>
  </si>
  <si>
    <t>027-238-2019-EBV</t>
  </si>
  <si>
    <t>USLUGA ZBRINJAVANJA BIORAZGRADIVOG OTPADA</t>
  </si>
  <si>
    <t>027-239-2019-EBV</t>
  </si>
  <si>
    <t>TABLETI</t>
  </si>
  <si>
    <t>027-240-2019-EBV</t>
  </si>
  <si>
    <t>FOTOGRAFSKA OPREMA</t>
  </si>
  <si>
    <t>027-243-2019-EBV</t>
  </si>
  <si>
    <t>POSTAVA USPORNIKA KOD ULAZNO-IZLAZNIH RAMPI NA ZAGREBAČKOM VELESAJMU</t>
  </si>
  <si>
    <t>027-244-2019-EBV</t>
  </si>
  <si>
    <t>RADOVI NA ASFALTIRANJU</t>
  </si>
  <si>
    <t>027-245-2019-EBV</t>
  </si>
  <si>
    <t>STOLICE</t>
  </si>
  <si>
    <t>027-246-2019-EBV</t>
  </si>
  <si>
    <t>IMPLEMENTACIJA GDPR SOFTVERSKOG RJEŠENJA SA SNIMKOM STANJA</t>
  </si>
  <si>
    <t>027-247-2019-EBV</t>
  </si>
  <si>
    <t>RADNE STANICE ZA ARHITEKTE (RAČUNALA ZA GRAFIČKU OBRADU)</t>
  </si>
  <si>
    <t>027-248-2019-EBV</t>
  </si>
  <si>
    <t>KLIMA UREĐAJI</t>
  </si>
  <si>
    <t>027-249-2019-EBV</t>
  </si>
  <si>
    <t>NATPIS ZV U KONGRESNOJ DVORANI (INOX)</t>
  </si>
  <si>
    <t>027-250-2019-EBV</t>
  </si>
  <si>
    <t>NATPIS ZV NA JUŽNOM ULAZU (INOX)</t>
  </si>
  <si>
    <t>027-251-2019-EBV</t>
  </si>
  <si>
    <t>PROJEKT DIGITALIZACIJE POSLOVANJA</t>
  </si>
  <si>
    <t>027-252-2019-EBV</t>
  </si>
  <si>
    <t>IZRADA TEHNIČKE DOKUMENTACIJE UREĐENJA JUŽNOG ULAZA U PAVILJON 8, 8A</t>
  </si>
  <si>
    <t>027-253-2019-EBV</t>
  </si>
  <si>
    <t>IZRADA TEHNIČKE DOKUMENTACIJE PROTUPANIČNE RASVJETE PAVILJONA 6/PRIZEMLJE</t>
  </si>
  <si>
    <t>027-254-2019-EBV</t>
  </si>
  <si>
    <t>IZRADA TEHNIČKE DOKUMENTACIJE AKUSTIKE I ARHITEKTURALNE I SCENSKE RASVJETE U KONGRESNOJ DVORANI ZAGREBAČKOG VELESAJMA</t>
  </si>
  <si>
    <t>027-255-2019-EBV</t>
  </si>
  <si>
    <t>IZRADA TEHNIČKE DOKUMENTACIJE VANJSKOG EVAKUACIJSKOG STUBIŠTA U PAVILJONU 18 - PREMA PROCJENI UGROŽENOSTI OD POŽARA (ZAKONSKA OBAVEZA)</t>
  </si>
  <si>
    <t>027-256-2019-EBV</t>
  </si>
  <si>
    <t>ENERGETSKI UČINKOVITA RASVJETA U PAVILJONU 8</t>
  </si>
  <si>
    <t>027-257-2019-EBV</t>
  </si>
  <si>
    <t>IZRADA RASVJETE SANITARNOG ČVORA PAVILJONA 8</t>
  </si>
  <si>
    <t>027-258-2019-EBV</t>
  </si>
  <si>
    <t>IZRADA VANJSKOG EVAKUACIJSKOG STUBIŠTA U PAVILJONU 18 PREMA PROCJENI UGROŽENOSTI OD POŽARA</t>
  </si>
  <si>
    <t>027-259-2019-EBV</t>
  </si>
  <si>
    <t>NAJAM KLUPA</t>
  </si>
  <si>
    <t>027-260-2019-EBV</t>
  </si>
  <si>
    <t>MOBILNI TELEFONI</t>
  </si>
  <si>
    <t>027-261-2019-EBV</t>
  </si>
  <si>
    <t>SANACIJA PODKONSTRUKCIJE I ŠESTEROKUTNIH PLOHA NA JUŽNOM VIJENCU PAVILJONA 7</t>
  </si>
  <si>
    <t>027-263-2019-EBV</t>
  </si>
  <si>
    <t>TRIMER ZA TRAVU (FLAKSERICA)</t>
  </si>
  <si>
    <t>027-265-2019-EBV</t>
  </si>
  <si>
    <t>PROCJENA I REVIZIJA PROCJENE OPASNOSTI RADNIH MJESTA I PROCJENA OPASNOSTI PRI RADU S RAČUNALIMA</t>
  </si>
  <si>
    <t>027-266-2019-EBV</t>
  </si>
  <si>
    <t>UNIŠTAVAČ  PAPIRA</t>
  </si>
  <si>
    <t>027-267-2019-EBV</t>
  </si>
  <si>
    <t>IZRADA GEODETSKOG ELABORATA I PODLOGA NA LOKACIJI ZAGREBAČKOG VELESAJMA</t>
  </si>
  <si>
    <t>027-268-2019-EBV</t>
  </si>
  <si>
    <t>PRIBOR ZA AUDIOVIZUELNU OPREMU</t>
  </si>
  <si>
    <t>027-271-2019-EBV</t>
  </si>
  <si>
    <t>POPRAVAK I REZERVNI DIJELOVI STROJEVA ZA OBRADU DRVA</t>
  </si>
  <si>
    <t>027-272-2019-EBV</t>
  </si>
  <si>
    <t>SERVIS I POPRAVAK VATRODOJAVNOG PULTA NA ZV-U</t>
  </si>
  <si>
    <t>027-273-2019-EBV</t>
  </si>
  <si>
    <t>DEFEKTAŽA I POPRAVAK SUSTAVA ZA DOJAVU POŽARA</t>
  </si>
  <si>
    <t>027-274-2019-EBV</t>
  </si>
  <si>
    <t>IZRADA MIŠLJENJA I ELABORATA STATIČARA O STANJU I STATIČKOJ STABILNOSTI OVJEŠENE PLOČE S NATPISOM ZAGREBAČKI VELESAJAM U OBJEKTU RK</t>
  </si>
  <si>
    <t>027-275-2019-EBV</t>
  </si>
  <si>
    <t>RIP STANICA ZA SOLVENTNI PRINTER</t>
  </si>
  <si>
    <t>027-276-2019-EBV</t>
  </si>
  <si>
    <t>IZRADA STATIČKOG PRORAČUNA KROVIŠTA PAVILJONA 5</t>
  </si>
  <si>
    <t>027-277-2019-EBV</t>
  </si>
  <si>
    <t>MOTORNA PILA</t>
  </si>
  <si>
    <t>027-279-2019-EBV</t>
  </si>
  <si>
    <t>POSTAVA TEPIHA I OSTALIH PODNIH OBLOGA</t>
  </si>
  <si>
    <t>027-280-2019-EBV</t>
  </si>
  <si>
    <t>HLADNJACI ZA POTREBE SAJMOVA I DOGAĐANJA</t>
  </si>
  <si>
    <t>027-281-2019-EBV</t>
  </si>
  <si>
    <t>USLUGA EVIDENCIJE RADNOG VREMENA VOZAČA</t>
  </si>
  <si>
    <t>027-282-2019-EBV</t>
  </si>
  <si>
    <t>ELEKTROMONTAŽNI RADOVI NA ZAGREBAČKOM VELESAJMU</t>
  </si>
  <si>
    <t>027-283-2019-EBV</t>
  </si>
  <si>
    <t>TINTA ZA PISAČ VELIKOG FORMATA</t>
  </si>
  <si>
    <t>027-284-2019-EBV</t>
  </si>
  <si>
    <t>DISTRIBUCIJA NOVINA I LETAKA</t>
  </si>
  <si>
    <t>027-285-2019-EBV</t>
  </si>
  <si>
    <t>LEKTURA I KOREKTURA TEKSTOVA</t>
  </si>
  <si>
    <t>027-286-2019-EBV</t>
  </si>
  <si>
    <t>KONTEJNERI ZA SMEĆE</t>
  </si>
  <si>
    <t>027-287-2019-EBV</t>
  </si>
  <si>
    <t>GODIŠNJE ODRŽAVANJE GDPR LICENCE</t>
  </si>
  <si>
    <t>027-288-2019-EBV</t>
  </si>
  <si>
    <t>ANALIZA POREZNOG I RAČUNOVODSTVENOG TRETMANA ULAGANJA U NEKRETNINE</t>
  </si>
  <si>
    <t>027-289-2019-EBV</t>
  </si>
  <si>
    <t>NAJAM SKENERA ZA KONTROLU ULAZA</t>
  </si>
  <si>
    <t>027-290-2019-EBV</t>
  </si>
  <si>
    <t>NAJAM VOZILA ZA PRIJEVOZ PUTNIKA S VOZAČEM</t>
  </si>
  <si>
    <t>027-291-2019-EBV</t>
  </si>
  <si>
    <t>REZAČ PAPIRA</t>
  </si>
  <si>
    <t>027-292-2019-EBV</t>
  </si>
  <si>
    <t>NAJAM ŠATORA I OPREME ZA ŠATOR</t>
  </si>
  <si>
    <t>027-293-2019-EBV</t>
  </si>
  <si>
    <t>USLUGA TISKA I GRAVIRANJA NA PROMIDŽBENE PREDMETE</t>
  </si>
  <si>
    <t>027-294-2019-EBV</t>
  </si>
  <si>
    <t>PROVJERA NOSIVOSTI I STABILNOSTI PRISTUPNE RAMPE U PAVILJONU 5</t>
  </si>
  <si>
    <t>027-295-2019-EBV</t>
  </si>
  <si>
    <t>USLUGA IZRADE SCENOGRAFIJE ZA POTREBE SVEČANE AKADEMIJE POVODOM 110 GODINA ZV-A</t>
  </si>
  <si>
    <t>027-296-2019-EBV</t>
  </si>
  <si>
    <t>PRODUKCIJA SVEČANE AKADEMIJE POVODOM 110 GODINA ZV-A</t>
  </si>
  <si>
    <t>027-297-2019-EBV</t>
  </si>
  <si>
    <t>CD PLAYER</t>
  </si>
  <si>
    <t>027-298-2019-EBV</t>
  </si>
  <si>
    <t>NAJAM VOZILA ZA PRIJEVOZ ROBE S VOZAČEM</t>
  </si>
  <si>
    <t>027-299-2019-EBV</t>
  </si>
  <si>
    <t>REZERVNI DIJELOVI ZA OSOBNA I TERETNA VOZILA</t>
  </si>
  <si>
    <t>027-300-2019-EBV</t>
  </si>
  <si>
    <t>RAČUNALA</t>
  </si>
  <si>
    <t>027-301-2019-EBV</t>
  </si>
  <si>
    <t>IZRADA IOS , ANDROID  I WEB APLIKACIJE I USLUGA SERVERA ZA IOS APLIKACIJU I ADMINISTRATORSKU STRANICU</t>
  </si>
  <si>
    <t>027-302-2019-EBV</t>
  </si>
  <si>
    <t>PROJEKTORI</t>
  </si>
  <si>
    <t>027-303-2019-EBV</t>
  </si>
  <si>
    <t>USLUGA ANALIZE POREZNOG I RAČUNOVODSTVENOG TRETMANA ULAGANJA U NEKRETNINE ZA 2019.GODINU</t>
  </si>
  <si>
    <t>027-304-2019-EBV</t>
  </si>
  <si>
    <t>ODVOZ IO ZBRINJAVANJE OPASNOG OTPADA</t>
  </si>
  <si>
    <t>A/ Ukupno jednostavna nabava</t>
  </si>
  <si>
    <t>Nabava male vrijednosti</t>
  </si>
  <si>
    <t>027-232-2019-EMV</t>
  </si>
  <si>
    <t>JEDNOKRATNI TEPISI ZA SAJAMSKE POTREBE</t>
  </si>
  <si>
    <t>Otvoreni postupak</t>
  </si>
  <si>
    <t>okvirni sporazum</t>
  </si>
  <si>
    <t>Veljača</t>
  </si>
  <si>
    <t>2 godine</t>
  </si>
  <si>
    <t>027-169-2019-EMV</t>
  </si>
  <si>
    <t>RADOVI NA PRIVREMENIM ELEKTROINSTALACIJAMA  ZA SAJMOVE , MANIFESTACIJE I BLAGDANE</t>
  </si>
  <si>
    <t>Srpanj</t>
  </si>
  <si>
    <t>2 godine s 1 gospodarskim subjektom</t>
  </si>
  <si>
    <t>027-242-2019-EMV</t>
  </si>
  <si>
    <t>WI FI U KRUGU ZV-A</t>
  </si>
  <si>
    <t>ugovor o javnoj nabavi</t>
  </si>
  <si>
    <t>Studeni</t>
  </si>
  <si>
    <t>30 dana</t>
  </si>
  <si>
    <t>027-270-2019-EMV</t>
  </si>
  <si>
    <t>POTROŠNI  MATERIJAL ZA SOLVENTNE PRINTERE</t>
  </si>
  <si>
    <t>027-269-2019-EMV</t>
  </si>
  <si>
    <t>MONTAŽA I NAJAM ŠTAND KONSTRUKCIJE S IZVEDBOM IZLOŽBENOG PROSTORA</t>
  </si>
  <si>
    <t>Kolovoz</t>
  </si>
  <si>
    <t>027-241-2019-EMV</t>
  </si>
  <si>
    <t>LED EKRAN ZA KONGRESNU DVORANU</t>
  </si>
  <si>
    <t>Travanj</t>
  </si>
  <si>
    <t>2 mjeseca</t>
  </si>
  <si>
    <t>027-278-2019-EMV</t>
  </si>
  <si>
    <t>RADOVI HITNIH INTERVENCIJA NA POPRAVCIMA KROVOVA</t>
  </si>
  <si>
    <t>027-262-2019-EMV</t>
  </si>
  <si>
    <t>SOFTWARE ZA UPRAVLJANJE POSLOVANJEM I ODNOSIMA S KLIJENTIMA CRM</t>
  </si>
  <si>
    <t>027-264-2019-EMV</t>
  </si>
  <si>
    <t>INSTALACIJA HLAĐENJA U PAVILJONU 8 ZAGREBAČKOG VELESAJMA</t>
  </si>
  <si>
    <t>Svibanj</t>
  </si>
  <si>
    <t>90 dana</t>
  </si>
  <si>
    <t>528-2019-EMV</t>
  </si>
  <si>
    <t>USLUGA UNAPRJEĐIVANJA I ODRŽAVANJA INTERNET PORTALA I CMS SUSTAVA</t>
  </si>
  <si>
    <t>B/ Ukupno tzv. nabava male vrijednosti</t>
  </si>
  <si>
    <t>Nabava velike vrijednosti</t>
  </si>
  <si>
    <t>3-2019-EVV</t>
  </si>
  <si>
    <t>ELEKTRONIČKE KOMUNIKACIJSKE USLUGE U POKRETNOJ MREŽI</t>
  </si>
  <si>
    <t>Da</t>
  </si>
  <si>
    <t>9-2019-EVV</t>
  </si>
  <si>
    <t>OPSKRBA PLINOM</t>
  </si>
  <si>
    <t>C/ Ukupno tzv. nabava velike vrijednosti</t>
  </si>
  <si>
    <t>SVEUKUPNO (A + B + 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</si>
</sst>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0" fillId="34" borderId="10" xfId="0" applyFill="1" applyBorder="1" applyAlignment="1">
      <alignment vertical="top" wrapText="1"/>
    </xf>
    <xf numFmtId="0" fontId="20" fillId="34" borderId="10" xfId="0" applyFont="1" applyFill="1" applyBorder="1" applyAlignment="1">
      <alignment vertical="top" wrapText="1"/>
    </xf>
    <xf numFmtId="0" fontId="19" fillId="34" borderId="10" xfId="0" applyFont="1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4" fontId="18" fillId="34" borderId="10" xfId="0" applyNumberFormat="1" applyFont="1" applyFill="1" applyBorder="1" applyAlignment="1">
      <alignment horizontal="right" vertical="top" wrapText="1"/>
    </xf>
    <xf numFmtId="0" fontId="18" fillId="34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right" vertical="top" wrapText="1"/>
    </xf>
    <xf numFmtId="4" fontId="20" fillId="34" borderId="10" xfId="0" applyNumberFormat="1" applyFont="1" applyFill="1" applyBorder="1" applyAlignment="1">
      <alignment horizontal="right" wrapText="1"/>
    </xf>
    <xf numFmtId="0" fontId="0" fillId="34" borderId="10" xfId="0" applyFill="1" applyBorder="1" applyAlignment="1">
      <alignment wrapText="1"/>
    </xf>
    <xf numFmtId="0" fontId="21" fillId="34" borderId="10" xfId="0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0"/>
  <sheetViews>
    <sheetView showGridLines="0" tabSelected="1" workbookViewId="0">
      <selection sqref="A1:A4"/>
    </sheetView>
  </sheetViews>
  <sheetFormatPr defaultRowHeight="15" x14ac:dyDescent="0.25"/>
  <cols>
    <col min="1" max="1" width="20" bestFit="1" customWidth="1"/>
    <col min="2" max="3" width="36.5703125" bestFit="1" customWidth="1"/>
    <col min="4" max="4" width="35.28515625" bestFit="1" customWidth="1"/>
    <col min="5" max="5" width="36.5703125" bestFit="1" customWidth="1"/>
    <col min="6" max="6" width="18" bestFit="1" customWidth="1"/>
    <col min="7" max="7" width="14.140625" bestFit="1" customWidth="1"/>
    <col min="8" max="8" width="36.5703125" bestFit="1" customWidth="1"/>
    <col min="9" max="9" width="22.7109375" bestFit="1" customWidth="1"/>
    <col min="10" max="10" width="36.5703125" bestFit="1" customWidth="1"/>
    <col min="11" max="11" width="33.140625" bestFit="1" customWidth="1"/>
    <col min="12" max="12" width="36.5703125" bestFit="1" customWidth="1"/>
    <col min="13" max="13" width="9" customWidth="1"/>
  </cols>
  <sheetData>
    <row r="1" spans="1:13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4" t="s">
        <v>14</v>
      </c>
      <c r="M1" s="4" t="s">
        <v>15</v>
      </c>
    </row>
    <row r="2" spans="1:13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 t="s">
        <v>11</v>
      </c>
      <c r="L2" s="5"/>
      <c r="M2" s="5"/>
    </row>
    <row r="3" spans="1:13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2" t="s">
        <v>12</v>
      </c>
      <c r="L3" s="5"/>
      <c r="M3" s="5"/>
    </row>
    <row r="4" spans="1:13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3" t="s">
        <v>13</v>
      </c>
      <c r="L4" s="6"/>
      <c r="M4" s="6"/>
    </row>
    <row r="6" spans="1:13" ht="14.45" customHeight="1" x14ac:dyDescent="0.25">
      <c r="A6" s="7"/>
      <c r="B6" s="7"/>
      <c r="C6" s="8" t="s">
        <v>16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2.6" customHeight="1" x14ac:dyDescent="0.25">
      <c r="A7" s="7"/>
      <c r="B7" s="7"/>
      <c r="C7" s="9" t="s">
        <v>17</v>
      </c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2" customHeight="1" x14ac:dyDescent="0.25">
      <c r="A8" s="7"/>
      <c r="B8" s="10" t="s">
        <v>18</v>
      </c>
      <c r="C8" s="10" t="str">
        <f>"44530000-4"</f>
        <v>44530000-4</v>
      </c>
      <c r="D8" s="11">
        <v>2000</v>
      </c>
      <c r="E8" s="10" t="s">
        <v>19</v>
      </c>
      <c r="F8" s="7"/>
      <c r="G8" s="12" t="s">
        <v>20</v>
      </c>
      <c r="H8" s="7"/>
      <c r="I8" s="7"/>
      <c r="J8" s="7"/>
      <c r="K8" s="12" t="s">
        <v>21</v>
      </c>
      <c r="L8" s="12" t="str">
        <f t="shared" ref="L8:L71" si="0">CONCATENATE("")</f>
        <v/>
      </c>
      <c r="M8" s="10" t="str">
        <f>""</f>
        <v/>
      </c>
    </row>
    <row r="9" spans="1:13" ht="12" customHeight="1" x14ac:dyDescent="0.25">
      <c r="A9" s="10" t="s">
        <v>22</v>
      </c>
      <c r="B9" s="10" t="s">
        <v>23</v>
      </c>
      <c r="C9" s="10" t="str">
        <f>"15000000-8"</f>
        <v>15000000-8</v>
      </c>
      <c r="D9" s="11">
        <v>30000</v>
      </c>
      <c r="E9" s="10" t="s">
        <v>19</v>
      </c>
      <c r="F9" s="7"/>
      <c r="G9" s="12" t="s">
        <v>20</v>
      </c>
      <c r="H9" s="7"/>
      <c r="I9" s="7"/>
      <c r="J9" s="7"/>
      <c r="K9" s="12" t="s">
        <v>21</v>
      </c>
      <c r="L9" s="12" t="str">
        <f t="shared" si="0"/>
        <v/>
      </c>
      <c r="M9" s="10" t="str">
        <f>""</f>
        <v/>
      </c>
    </row>
    <row r="10" spans="1:13" ht="12" customHeight="1" x14ac:dyDescent="0.25">
      <c r="A10" s="10" t="s">
        <v>24</v>
      </c>
      <c r="B10" s="10" t="s">
        <v>25</v>
      </c>
      <c r="C10" s="10" t="str">
        <f>"15800000-6"</f>
        <v>15800000-6</v>
      </c>
      <c r="D10" s="11">
        <v>40000</v>
      </c>
      <c r="E10" s="10" t="s">
        <v>19</v>
      </c>
      <c r="F10" s="7"/>
      <c r="G10" s="12" t="s">
        <v>20</v>
      </c>
      <c r="H10" s="7"/>
      <c r="I10" s="7"/>
      <c r="J10" s="7"/>
      <c r="K10" s="12" t="s">
        <v>21</v>
      </c>
      <c r="L10" s="12" t="str">
        <f t="shared" si="0"/>
        <v/>
      </c>
      <c r="M10" s="10" t="str">
        <f>""</f>
        <v/>
      </c>
    </row>
    <row r="11" spans="1:13" ht="12" customHeight="1" x14ac:dyDescent="0.25">
      <c r="A11" s="10" t="s">
        <v>26</v>
      </c>
      <c r="B11" s="10" t="s">
        <v>27</v>
      </c>
      <c r="C11" s="10" t="str">
        <f>"44191000-5"</f>
        <v>44191000-5</v>
      </c>
      <c r="D11" s="11">
        <v>5600</v>
      </c>
      <c r="E11" s="10" t="s">
        <v>19</v>
      </c>
      <c r="F11" s="7"/>
      <c r="G11" s="12" t="s">
        <v>20</v>
      </c>
      <c r="H11" s="7"/>
      <c r="I11" s="7"/>
      <c r="J11" s="7"/>
      <c r="K11" s="12" t="s">
        <v>21</v>
      </c>
      <c r="L11" s="12" t="str">
        <f t="shared" si="0"/>
        <v/>
      </c>
      <c r="M11" s="10" t="str">
        <f>""</f>
        <v/>
      </c>
    </row>
    <row r="12" spans="1:13" ht="12" customHeight="1" x14ac:dyDescent="0.25">
      <c r="A12" s="10" t="s">
        <v>28</v>
      </c>
      <c r="B12" s="10" t="s">
        <v>29</v>
      </c>
      <c r="C12" s="10" t="str">
        <f>"33760000-5"</f>
        <v>33760000-5</v>
      </c>
      <c r="D12" s="11">
        <v>76800</v>
      </c>
      <c r="E12" s="10" t="s">
        <v>19</v>
      </c>
      <c r="F12" s="7"/>
      <c r="G12" s="12" t="s">
        <v>20</v>
      </c>
      <c r="H12" s="7"/>
      <c r="I12" s="7"/>
      <c r="J12" s="7"/>
      <c r="K12" s="12" t="s">
        <v>21</v>
      </c>
      <c r="L12" s="12" t="str">
        <f t="shared" si="0"/>
        <v/>
      </c>
      <c r="M12" s="10" t="str">
        <f>""</f>
        <v/>
      </c>
    </row>
    <row r="13" spans="1:13" ht="12" customHeight="1" x14ac:dyDescent="0.25">
      <c r="A13" s="10" t="s">
        <v>30</v>
      </c>
      <c r="B13" s="10" t="s">
        <v>31</v>
      </c>
      <c r="C13" s="10" t="str">
        <f>"22900000-9"</f>
        <v>22900000-9</v>
      </c>
      <c r="D13" s="11">
        <v>1000</v>
      </c>
      <c r="E13" s="10" t="s">
        <v>19</v>
      </c>
      <c r="F13" s="7"/>
      <c r="G13" s="12" t="s">
        <v>20</v>
      </c>
      <c r="H13" s="7"/>
      <c r="I13" s="7"/>
      <c r="J13" s="7"/>
      <c r="K13" s="12" t="s">
        <v>21</v>
      </c>
      <c r="L13" s="12" t="str">
        <f t="shared" si="0"/>
        <v/>
      </c>
      <c r="M13" s="10" t="str">
        <f>""</f>
        <v/>
      </c>
    </row>
    <row r="14" spans="1:13" ht="12" customHeight="1" x14ac:dyDescent="0.25">
      <c r="A14" s="10" t="s">
        <v>32</v>
      </c>
      <c r="B14" s="10" t="s">
        <v>33</v>
      </c>
      <c r="C14" s="10" t="str">
        <f>"09211000-1"</f>
        <v>09211000-1</v>
      </c>
      <c r="D14" s="11">
        <v>1000</v>
      </c>
      <c r="E14" s="10" t="s">
        <v>19</v>
      </c>
      <c r="F14" s="7"/>
      <c r="G14" s="12" t="s">
        <v>20</v>
      </c>
      <c r="H14" s="7"/>
      <c r="I14" s="7"/>
      <c r="J14" s="7"/>
      <c r="K14" s="12" t="s">
        <v>21</v>
      </c>
      <c r="L14" s="12" t="str">
        <f t="shared" si="0"/>
        <v/>
      </c>
      <c r="M14" s="10" t="str">
        <f>""</f>
        <v/>
      </c>
    </row>
    <row r="15" spans="1:13" ht="12" customHeight="1" x14ac:dyDescent="0.25">
      <c r="A15" s="10" t="s">
        <v>34</v>
      </c>
      <c r="B15" s="10" t="s">
        <v>35</v>
      </c>
      <c r="C15" s="10" t="str">
        <f>"33695000-8"</f>
        <v>33695000-8</v>
      </c>
      <c r="D15" s="11">
        <v>1200</v>
      </c>
      <c r="E15" s="10" t="s">
        <v>19</v>
      </c>
      <c r="F15" s="7"/>
      <c r="G15" s="12" t="s">
        <v>20</v>
      </c>
      <c r="H15" s="7"/>
      <c r="I15" s="7"/>
      <c r="J15" s="7"/>
      <c r="K15" s="12" t="s">
        <v>21</v>
      </c>
      <c r="L15" s="12" t="str">
        <f t="shared" si="0"/>
        <v/>
      </c>
      <c r="M15" s="10" t="str">
        <f>""</f>
        <v/>
      </c>
    </row>
    <row r="16" spans="1:13" ht="12" customHeight="1" x14ac:dyDescent="0.25">
      <c r="A16" s="10" t="s">
        <v>36</v>
      </c>
      <c r="B16" s="10" t="s">
        <v>37</v>
      </c>
      <c r="C16" s="10" t="str">
        <f>"39800000-0"</f>
        <v>39800000-0</v>
      </c>
      <c r="D16" s="11">
        <v>29500</v>
      </c>
      <c r="E16" s="10" t="s">
        <v>19</v>
      </c>
      <c r="F16" s="7"/>
      <c r="G16" s="12" t="s">
        <v>20</v>
      </c>
      <c r="H16" s="7"/>
      <c r="I16" s="7"/>
      <c r="J16" s="7"/>
      <c r="K16" s="12" t="s">
        <v>21</v>
      </c>
      <c r="L16" s="12" t="str">
        <f t="shared" si="0"/>
        <v/>
      </c>
      <c r="M16" s="10" t="str">
        <f>""</f>
        <v/>
      </c>
    </row>
    <row r="17" spans="1:13" ht="12" customHeight="1" x14ac:dyDescent="0.25">
      <c r="A17" s="10" t="s">
        <v>38</v>
      </c>
      <c r="B17" s="10" t="s">
        <v>39</v>
      </c>
      <c r="C17" s="10" t="str">
        <f>"19520000-7"</f>
        <v>19520000-7</v>
      </c>
      <c r="D17" s="11">
        <v>26500</v>
      </c>
      <c r="E17" s="10" t="s">
        <v>19</v>
      </c>
      <c r="F17" s="7"/>
      <c r="G17" s="12" t="s">
        <v>20</v>
      </c>
      <c r="H17" s="7"/>
      <c r="I17" s="7"/>
      <c r="J17" s="7"/>
      <c r="K17" s="12" t="s">
        <v>21</v>
      </c>
      <c r="L17" s="12" t="str">
        <f t="shared" si="0"/>
        <v/>
      </c>
      <c r="M17" s="10" t="str">
        <f>""</f>
        <v/>
      </c>
    </row>
    <row r="18" spans="1:13" ht="12" customHeight="1" x14ac:dyDescent="0.25">
      <c r="A18" s="10" t="s">
        <v>40</v>
      </c>
      <c r="B18" s="10" t="s">
        <v>41</v>
      </c>
      <c r="C18" s="10" t="str">
        <f>"19520000-7"</f>
        <v>19520000-7</v>
      </c>
      <c r="D18" s="11">
        <v>81800</v>
      </c>
      <c r="E18" s="10" t="s">
        <v>19</v>
      </c>
      <c r="F18" s="7"/>
      <c r="G18" s="12" t="s">
        <v>20</v>
      </c>
      <c r="H18" s="7"/>
      <c r="I18" s="7"/>
      <c r="J18" s="7"/>
      <c r="K18" s="12" t="s">
        <v>21</v>
      </c>
      <c r="L18" s="12" t="str">
        <f t="shared" si="0"/>
        <v/>
      </c>
      <c r="M18" s="10" t="str">
        <f>""</f>
        <v/>
      </c>
    </row>
    <row r="19" spans="1:13" ht="12" customHeight="1" x14ac:dyDescent="0.25">
      <c r="A19" s="10" t="s">
        <v>42</v>
      </c>
      <c r="B19" s="10" t="s">
        <v>43</v>
      </c>
      <c r="C19" s="10" t="str">
        <f>"19520000-7"</f>
        <v>19520000-7</v>
      </c>
      <c r="D19" s="11">
        <v>130800</v>
      </c>
      <c r="E19" s="10" t="s">
        <v>19</v>
      </c>
      <c r="F19" s="7"/>
      <c r="G19" s="12" t="s">
        <v>20</v>
      </c>
      <c r="H19" s="7"/>
      <c r="I19" s="7"/>
      <c r="J19" s="7"/>
      <c r="K19" s="12" t="s">
        <v>21</v>
      </c>
      <c r="L19" s="12" t="str">
        <f t="shared" si="0"/>
        <v/>
      </c>
      <c r="M19" s="10" t="str">
        <f>""</f>
        <v/>
      </c>
    </row>
    <row r="20" spans="1:13" ht="12" customHeight="1" x14ac:dyDescent="0.25">
      <c r="A20" s="10" t="s">
        <v>44</v>
      </c>
      <c r="B20" s="10" t="s">
        <v>45</v>
      </c>
      <c r="C20" s="10" t="str">
        <f>"22850000-3"</f>
        <v>22850000-3</v>
      </c>
      <c r="D20" s="11">
        <v>4300</v>
      </c>
      <c r="E20" s="10" t="s">
        <v>19</v>
      </c>
      <c r="F20" s="7"/>
      <c r="G20" s="12" t="s">
        <v>20</v>
      </c>
      <c r="H20" s="7"/>
      <c r="I20" s="7"/>
      <c r="J20" s="7"/>
      <c r="K20" s="12" t="s">
        <v>21</v>
      </c>
      <c r="L20" s="12" t="str">
        <f t="shared" si="0"/>
        <v/>
      </c>
      <c r="M20" s="10" t="str">
        <f>""</f>
        <v/>
      </c>
    </row>
    <row r="21" spans="1:13" ht="12" customHeight="1" x14ac:dyDescent="0.25">
      <c r="A21" s="10" t="s">
        <v>46</v>
      </c>
      <c r="B21" s="10" t="s">
        <v>47</v>
      </c>
      <c r="C21" s="10" t="str">
        <f>"44424200-0"</f>
        <v>44424200-0</v>
      </c>
      <c r="D21" s="11">
        <v>69300</v>
      </c>
      <c r="E21" s="10" t="s">
        <v>19</v>
      </c>
      <c r="F21" s="7"/>
      <c r="G21" s="12" t="s">
        <v>20</v>
      </c>
      <c r="H21" s="7"/>
      <c r="I21" s="7"/>
      <c r="J21" s="7"/>
      <c r="K21" s="12" t="s">
        <v>21</v>
      </c>
      <c r="L21" s="12" t="str">
        <f t="shared" si="0"/>
        <v/>
      </c>
      <c r="M21" s="10" t="str">
        <f>""</f>
        <v/>
      </c>
    </row>
    <row r="22" spans="1:13" ht="12" customHeight="1" x14ac:dyDescent="0.25">
      <c r="A22" s="10" t="s">
        <v>48</v>
      </c>
      <c r="B22" s="10" t="s">
        <v>49</v>
      </c>
      <c r="C22" s="10" t="str">
        <f>"19520000-7"</f>
        <v>19520000-7</v>
      </c>
      <c r="D22" s="11">
        <v>6200</v>
      </c>
      <c r="E22" s="10" t="s">
        <v>19</v>
      </c>
      <c r="F22" s="7"/>
      <c r="G22" s="12" t="s">
        <v>20</v>
      </c>
      <c r="H22" s="7"/>
      <c r="I22" s="7"/>
      <c r="J22" s="7"/>
      <c r="K22" s="12" t="s">
        <v>21</v>
      </c>
      <c r="L22" s="12" t="str">
        <f t="shared" si="0"/>
        <v/>
      </c>
      <c r="M22" s="10" t="str">
        <f>""</f>
        <v/>
      </c>
    </row>
    <row r="23" spans="1:13" ht="12" customHeight="1" x14ac:dyDescent="0.25">
      <c r="A23" s="10" t="s">
        <v>50</v>
      </c>
      <c r="B23" s="10" t="s">
        <v>51</v>
      </c>
      <c r="C23" s="10" t="str">
        <f>"30162000-2"</f>
        <v>30162000-2</v>
      </c>
      <c r="D23" s="11">
        <v>20900</v>
      </c>
      <c r="E23" s="10" t="s">
        <v>19</v>
      </c>
      <c r="F23" s="7"/>
      <c r="G23" s="12" t="s">
        <v>20</v>
      </c>
      <c r="H23" s="7"/>
      <c r="I23" s="7"/>
      <c r="J23" s="7"/>
      <c r="K23" s="12" t="s">
        <v>21</v>
      </c>
      <c r="L23" s="12" t="str">
        <f t="shared" si="0"/>
        <v/>
      </c>
      <c r="M23" s="10" t="str">
        <f>""</f>
        <v/>
      </c>
    </row>
    <row r="24" spans="1:13" ht="12" customHeight="1" x14ac:dyDescent="0.25">
      <c r="A24" s="10" t="s">
        <v>52</v>
      </c>
      <c r="B24" s="10" t="s">
        <v>53</v>
      </c>
      <c r="C24" s="10" t="str">
        <f>"30160000-8"</f>
        <v>30160000-8</v>
      </c>
      <c r="D24" s="13">
        <v>100</v>
      </c>
      <c r="E24" s="10" t="s">
        <v>19</v>
      </c>
      <c r="F24" s="7"/>
      <c r="G24" s="12" t="s">
        <v>20</v>
      </c>
      <c r="H24" s="7"/>
      <c r="I24" s="7"/>
      <c r="J24" s="7"/>
      <c r="K24" s="12" t="s">
        <v>21</v>
      </c>
      <c r="L24" s="12" t="str">
        <f t="shared" si="0"/>
        <v/>
      </c>
      <c r="M24" s="10" t="str">
        <f>""</f>
        <v/>
      </c>
    </row>
    <row r="25" spans="1:13" ht="12" customHeight="1" x14ac:dyDescent="0.25">
      <c r="A25" s="10" t="s">
        <v>54</v>
      </c>
      <c r="B25" s="10" t="s">
        <v>55</v>
      </c>
      <c r="C25" s="10" t="str">
        <f>"39713430-6"</f>
        <v>39713430-6</v>
      </c>
      <c r="D25" s="11">
        <v>1000</v>
      </c>
      <c r="E25" s="10" t="s">
        <v>19</v>
      </c>
      <c r="F25" s="7"/>
      <c r="G25" s="12" t="s">
        <v>20</v>
      </c>
      <c r="H25" s="7"/>
      <c r="I25" s="7"/>
      <c r="J25" s="7"/>
      <c r="K25" s="12" t="s">
        <v>21</v>
      </c>
      <c r="L25" s="12" t="str">
        <f t="shared" si="0"/>
        <v/>
      </c>
      <c r="M25" s="10" t="str">
        <f>""</f>
        <v/>
      </c>
    </row>
    <row r="26" spans="1:13" ht="12" customHeight="1" x14ac:dyDescent="0.25">
      <c r="A26" s="10" t="s">
        <v>56</v>
      </c>
      <c r="B26" s="10" t="s">
        <v>57</v>
      </c>
      <c r="C26" s="10" t="str">
        <f>"30190000-7"</f>
        <v>30190000-7</v>
      </c>
      <c r="D26" s="11">
        <v>20000</v>
      </c>
      <c r="E26" s="10" t="s">
        <v>19</v>
      </c>
      <c r="F26" s="7"/>
      <c r="G26" s="12" t="s">
        <v>20</v>
      </c>
      <c r="H26" s="7"/>
      <c r="I26" s="7"/>
      <c r="J26" s="7"/>
      <c r="K26" s="12" t="s">
        <v>21</v>
      </c>
      <c r="L26" s="12" t="str">
        <f t="shared" si="0"/>
        <v/>
      </c>
      <c r="M26" s="10" t="str">
        <f>""</f>
        <v/>
      </c>
    </row>
    <row r="27" spans="1:13" ht="12" customHeight="1" x14ac:dyDescent="0.25">
      <c r="A27" s="10" t="s">
        <v>58</v>
      </c>
      <c r="B27" s="10" t="s">
        <v>59</v>
      </c>
      <c r="C27" s="10" t="str">
        <f>"30100000-0"</f>
        <v>30100000-0</v>
      </c>
      <c r="D27" s="11">
        <v>199900</v>
      </c>
      <c r="E27" s="10" t="s">
        <v>19</v>
      </c>
      <c r="F27" s="7"/>
      <c r="G27" s="12" t="s">
        <v>20</v>
      </c>
      <c r="H27" s="7"/>
      <c r="I27" s="7"/>
      <c r="J27" s="7"/>
      <c r="K27" s="12" t="s">
        <v>21</v>
      </c>
      <c r="L27" s="12" t="str">
        <f t="shared" si="0"/>
        <v/>
      </c>
      <c r="M27" s="10" t="str">
        <f>""</f>
        <v/>
      </c>
    </row>
    <row r="28" spans="1:13" ht="12" customHeight="1" x14ac:dyDescent="0.25">
      <c r="A28" s="10" t="s">
        <v>60</v>
      </c>
      <c r="B28" s="10" t="s">
        <v>61</v>
      </c>
      <c r="C28" s="10" t="str">
        <f>"30152000-9"</f>
        <v>30152000-9</v>
      </c>
      <c r="D28" s="11">
        <v>2000</v>
      </c>
      <c r="E28" s="10" t="s">
        <v>19</v>
      </c>
      <c r="F28" s="7"/>
      <c r="G28" s="12" t="s">
        <v>20</v>
      </c>
      <c r="H28" s="7"/>
      <c r="I28" s="7"/>
      <c r="J28" s="7"/>
      <c r="K28" s="12" t="s">
        <v>21</v>
      </c>
      <c r="L28" s="12" t="str">
        <f t="shared" si="0"/>
        <v/>
      </c>
      <c r="M28" s="10" t="str">
        <f>""</f>
        <v/>
      </c>
    </row>
    <row r="29" spans="1:13" ht="12" customHeight="1" x14ac:dyDescent="0.25">
      <c r="A29" s="10" t="s">
        <v>62</v>
      </c>
      <c r="B29" s="10" t="s">
        <v>63</v>
      </c>
      <c r="C29" s="10" t="str">
        <f>"30125110-5"</f>
        <v>30125110-5</v>
      </c>
      <c r="D29" s="11">
        <v>32500</v>
      </c>
      <c r="E29" s="10" t="s">
        <v>19</v>
      </c>
      <c r="F29" s="7"/>
      <c r="G29" s="12" t="s">
        <v>20</v>
      </c>
      <c r="H29" s="7"/>
      <c r="I29" s="7"/>
      <c r="J29" s="7"/>
      <c r="K29" s="12" t="s">
        <v>21</v>
      </c>
      <c r="L29" s="12" t="str">
        <f t="shared" si="0"/>
        <v/>
      </c>
      <c r="M29" s="10" t="str">
        <f>""</f>
        <v/>
      </c>
    </row>
    <row r="30" spans="1:13" ht="12" customHeight="1" x14ac:dyDescent="0.25">
      <c r="A30" s="10" t="s">
        <v>64</v>
      </c>
      <c r="B30" s="10" t="s">
        <v>65</v>
      </c>
      <c r="C30" s="10" t="str">
        <f>"39154000-6"</f>
        <v>39154000-6</v>
      </c>
      <c r="D30" s="11">
        <v>21700</v>
      </c>
      <c r="E30" s="10" t="s">
        <v>19</v>
      </c>
      <c r="F30" s="7"/>
      <c r="G30" s="12" t="s">
        <v>20</v>
      </c>
      <c r="H30" s="7"/>
      <c r="I30" s="7"/>
      <c r="J30" s="7"/>
      <c r="K30" s="12" t="s">
        <v>21</v>
      </c>
      <c r="L30" s="12" t="str">
        <f t="shared" si="0"/>
        <v/>
      </c>
      <c r="M30" s="10" t="str">
        <f>""</f>
        <v/>
      </c>
    </row>
    <row r="31" spans="1:13" ht="12" customHeight="1" x14ac:dyDescent="0.25">
      <c r="A31" s="10" t="s">
        <v>66</v>
      </c>
      <c r="B31" s="10" t="s">
        <v>67</v>
      </c>
      <c r="C31" s="10" t="str">
        <f>"18512200-3"</f>
        <v>18512200-3</v>
      </c>
      <c r="D31" s="11">
        <v>17000</v>
      </c>
      <c r="E31" s="10" t="s">
        <v>19</v>
      </c>
      <c r="F31" s="7"/>
      <c r="G31" s="12" t="s">
        <v>20</v>
      </c>
      <c r="H31" s="7"/>
      <c r="I31" s="7"/>
      <c r="J31" s="7"/>
      <c r="K31" s="12" t="s">
        <v>21</v>
      </c>
      <c r="L31" s="12" t="str">
        <f t="shared" si="0"/>
        <v/>
      </c>
      <c r="M31" s="10" t="str">
        <f>""</f>
        <v/>
      </c>
    </row>
    <row r="32" spans="1:13" ht="12" customHeight="1" x14ac:dyDescent="0.25">
      <c r="A32" s="10" t="s">
        <v>68</v>
      </c>
      <c r="B32" s="10" t="s">
        <v>69</v>
      </c>
      <c r="C32" s="10" t="str">
        <f>"39298900-6"</f>
        <v>39298900-6</v>
      </c>
      <c r="D32" s="11">
        <v>1000</v>
      </c>
      <c r="E32" s="10" t="s">
        <v>19</v>
      </c>
      <c r="F32" s="7"/>
      <c r="G32" s="12" t="s">
        <v>20</v>
      </c>
      <c r="H32" s="7"/>
      <c r="I32" s="7"/>
      <c r="J32" s="7"/>
      <c r="K32" s="12" t="s">
        <v>21</v>
      </c>
      <c r="L32" s="12" t="str">
        <f t="shared" si="0"/>
        <v/>
      </c>
      <c r="M32" s="10" t="str">
        <f>""</f>
        <v/>
      </c>
    </row>
    <row r="33" spans="1:13" ht="12" customHeight="1" x14ac:dyDescent="0.25">
      <c r="A33" s="10" t="s">
        <v>70</v>
      </c>
      <c r="B33" s="10" t="s">
        <v>71</v>
      </c>
      <c r="C33" s="10" t="str">
        <f>"22457000-8"</f>
        <v>22457000-8</v>
      </c>
      <c r="D33" s="11">
        <v>45500</v>
      </c>
      <c r="E33" s="10" t="s">
        <v>19</v>
      </c>
      <c r="F33" s="7"/>
      <c r="G33" s="12" t="s">
        <v>20</v>
      </c>
      <c r="H33" s="7"/>
      <c r="I33" s="7"/>
      <c r="J33" s="7"/>
      <c r="K33" s="12" t="s">
        <v>21</v>
      </c>
      <c r="L33" s="12" t="str">
        <f t="shared" si="0"/>
        <v/>
      </c>
      <c r="M33" s="10" t="str">
        <f>""</f>
        <v/>
      </c>
    </row>
    <row r="34" spans="1:13" ht="12" customHeight="1" x14ac:dyDescent="0.25">
      <c r="A34" s="10" t="s">
        <v>72</v>
      </c>
      <c r="B34" s="10" t="s">
        <v>73</v>
      </c>
      <c r="C34" s="10" t="str">
        <f>"09000000-3"</f>
        <v>09000000-3</v>
      </c>
      <c r="D34" s="11">
        <v>85000</v>
      </c>
      <c r="E34" s="10" t="s">
        <v>19</v>
      </c>
      <c r="F34" s="7"/>
      <c r="G34" s="12" t="s">
        <v>20</v>
      </c>
      <c r="H34" s="7"/>
      <c r="I34" s="7"/>
      <c r="J34" s="7"/>
      <c r="K34" s="12" t="s">
        <v>21</v>
      </c>
      <c r="L34" s="12" t="str">
        <f t="shared" si="0"/>
        <v/>
      </c>
      <c r="M34" s="10" t="str">
        <f>""</f>
        <v/>
      </c>
    </row>
    <row r="35" spans="1:13" ht="12" customHeight="1" x14ac:dyDescent="0.25">
      <c r="A35" s="10" t="s">
        <v>74</v>
      </c>
      <c r="B35" s="10" t="s">
        <v>75</v>
      </c>
      <c r="C35" s="10" t="str">
        <f>"34927100-2"</f>
        <v>34927100-2</v>
      </c>
      <c r="D35" s="11">
        <v>20000</v>
      </c>
      <c r="E35" s="10" t="s">
        <v>19</v>
      </c>
      <c r="F35" s="7"/>
      <c r="G35" s="12" t="s">
        <v>20</v>
      </c>
      <c r="H35" s="7"/>
      <c r="I35" s="7"/>
      <c r="J35" s="7"/>
      <c r="K35" s="12" t="s">
        <v>21</v>
      </c>
      <c r="L35" s="12" t="str">
        <f t="shared" si="0"/>
        <v/>
      </c>
      <c r="M35" s="10" t="str">
        <f>""</f>
        <v/>
      </c>
    </row>
    <row r="36" spans="1:13" ht="12" customHeight="1" x14ac:dyDescent="0.25">
      <c r="A36" s="10" t="s">
        <v>76</v>
      </c>
      <c r="B36" s="10" t="s">
        <v>77</v>
      </c>
      <c r="C36" s="10" t="str">
        <f>"19210000-1"</f>
        <v>19210000-1</v>
      </c>
      <c r="D36" s="11">
        <v>20000</v>
      </c>
      <c r="E36" s="10" t="s">
        <v>19</v>
      </c>
      <c r="F36" s="7"/>
      <c r="G36" s="12" t="s">
        <v>20</v>
      </c>
      <c r="H36" s="7"/>
      <c r="I36" s="7"/>
      <c r="J36" s="7"/>
      <c r="K36" s="12" t="s">
        <v>21</v>
      </c>
      <c r="L36" s="12" t="str">
        <f t="shared" si="0"/>
        <v/>
      </c>
      <c r="M36" s="10" t="str">
        <f>""</f>
        <v/>
      </c>
    </row>
    <row r="37" spans="1:13" ht="12" customHeight="1" x14ac:dyDescent="0.25">
      <c r="A37" s="10" t="s">
        <v>78</v>
      </c>
      <c r="B37" s="10" t="s">
        <v>79</v>
      </c>
      <c r="C37" s="10" t="str">
        <f>"39541000-6"</f>
        <v>39541000-6</v>
      </c>
      <c r="D37" s="11">
        <v>1000</v>
      </c>
      <c r="E37" s="10" t="s">
        <v>19</v>
      </c>
      <c r="F37" s="7"/>
      <c r="G37" s="12" t="s">
        <v>20</v>
      </c>
      <c r="H37" s="7"/>
      <c r="I37" s="7"/>
      <c r="J37" s="7"/>
      <c r="K37" s="12" t="s">
        <v>21</v>
      </c>
      <c r="L37" s="12" t="str">
        <f t="shared" si="0"/>
        <v/>
      </c>
      <c r="M37" s="10" t="str">
        <f>""</f>
        <v/>
      </c>
    </row>
    <row r="38" spans="1:13" ht="12" customHeight="1" x14ac:dyDescent="0.25">
      <c r="A38" s="10" t="s">
        <v>80</v>
      </c>
      <c r="B38" s="10" t="s">
        <v>81</v>
      </c>
      <c r="C38" s="10" t="str">
        <f>"03419000-0"</f>
        <v>03419000-0</v>
      </c>
      <c r="D38" s="11">
        <v>10000</v>
      </c>
      <c r="E38" s="10" t="s">
        <v>19</v>
      </c>
      <c r="F38" s="7"/>
      <c r="G38" s="12" t="s">
        <v>20</v>
      </c>
      <c r="H38" s="7"/>
      <c r="I38" s="7"/>
      <c r="J38" s="7"/>
      <c r="K38" s="12" t="s">
        <v>21</v>
      </c>
      <c r="L38" s="12" t="str">
        <f t="shared" si="0"/>
        <v/>
      </c>
      <c r="M38" s="10" t="str">
        <f>""</f>
        <v/>
      </c>
    </row>
    <row r="39" spans="1:13" ht="12" customHeight="1" x14ac:dyDescent="0.25">
      <c r="A39" s="10" t="s">
        <v>82</v>
      </c>
      <c r="B39" s="10" t="s">
        <v>83</v>
      </c>
      <c r="C39" s="10" t="str">
        <f>"03419100-1"</f>
        <v>03419100-1</v>
      </c>
      <c r="D39" s="11">
        <v>1000</v>
      </c>
      <c r="E39" s="10" t="s">
        <v>19</v>
      </c>
      <c r="F39" s="7"/>
      <c r="G39" s="12" t="s">
        <v>20</v>
      </c>
      <c r="H39" s="7"/>
      <c r="I39" s="7"/>
      <c r="J39" s="7"/>
      <c r="K39" s="12" t="s">
        <v>21</v>
      </c>
      <c r="L39" s="12" t="str">
        <f t="shared" si="0"/>
        <v/>
      </c>
      <c r="M39" s="10" t="str">
        <f>""</f>
        <v/>
      </c>
    </row>
    <row r="40" spans="1:13" ht="12" customHeight="1" x14ac:dyDescent="0.25">
      <c r="A40" s="10" t="s">
        <v>84</v>
      </c>
      <c r="B40" s="10" t="s">
        <v>85</v>
      </c>
      <c r="C40" s="10" t="str">
        <f>"24110000-8"</f>
        <v>24110000-8</v>
      </c>
      <c r="D40" s="11">
        <v>2000</v>
      </c>
      <c r="E40" s="10" t="s">
        <v>19</v>
      </c>
      <c r="F40" s="7"/>
      <c r="G40" s="12" t="s">
        <v>20</v>
      </c>
      <c r="H40" s="7"/>
      <c r="I40" s="7"/>
      <c r="J40" s="7"/>
      <c r="K40" s="12" t="s">
        <v>21</v>
      </c>
      <c r="L40" s="12" t="str">
        <f t="shared" si="0"/>
        <v/>
      </c>
      <c r="M40" s="10" t="str">
        <f>""</f>
        <v/>
      </c>
    </row>
    <row r="41" spans="1:13" ht="12" customHeight="1" x14ac:dyDescent="0.25">
      <c r="A41" s="10" t="s">
        <v>86</v>
      </c>
      <c r="B41" s="10" t="s">
        <v>87</v>
      </c>
      <c r="C41" s="10" t="str">
        <f>"24312000-4"</f>
        <v>24312000-4</v>
      </c>
      <c r="D41" s="11">
        <v>4000</v>
      </c>
      <c r="E41" s="10" t="s">
        <v>19</v>
      </c>
      <c r="F41" s="7"/>
      <c r="G41" s="12" t="s">
        <v>20</v>
      </c>
      <c r="H41" s="7"/>
      <c r="I41" s="7"/>
      <c r="J41" s="7"/>
      <c r="K41" s="12" t="s">
        <v>21</v>
      </c>
      <c r="L41" s="12" t="str">
        <f t="shared" si="0"/>
        <v/>
      </c>
      <c r="M41" s="10" t="str">
        <f>""</f>
        <v/>
      </c>
    </row>
    <row r="42" spans="1:13" ht="12" customHeight="1" x14ac:dyDescent="0.25">
      <c r="A42" s="10" t="s">
        <v>88</v>
      </c>
      <c r="B42" s="10" t="s">
        <v>89</v>
      </c>
      <c r="C42" s="10" t="str">
        <f>"24440000-0"</f>
        <v>24440000-0</v>
      </c>
      <c r="D42" s="11">
        <v>6000</v>
      </c>
      <c r="E42" s="10" t="s">
        <v>19</v>
      </c>
      <c r="F42" s="7"/>
      <c r="G42" s="12" t="s">
        <v>20</v>
      </c>
      <c r="H42" s="7"/>
      <c r="I42" s="7"/>
      <c r="J42" s="7"/>
      <c r="K42" s="12" t="s">
        <v>21</v>
      </c>
      <c r="L42" s="12" t="str">
        <f t="shared" si="0"/>
        <v/>
      </c>
      <c r="M42" s="10" t="str">
        <f>""</f>
        <v/>
      </c>
    </row>
    <row r="43" spans="1:13" ht="12" customHeight="1" x14ac:dyDescent="0.25">
      <c r="A43" s="10" t="s">
        <v>90</v>
      </c>
      <c r="B43" s="10" t="s">
        <v>91</v>
      </c>
      <c r="C43" s="10" t="str">
        <f>"24451000-0"</f>
        <v>24451000-0</v>
      </c>
      <c r="D43" s="11">
        <v>1000</v>
      </c>
      <c r="E43" s="10" t="s">
        <v>19</v>
      </c>
      <c r="F43" s="7"/>
      <c r="G43" s="12" t="s">
        <v>20</v>
      </c>
      <c r="H43" s="7"/>
      <c r="I43" s="7"/>
      <c r="J43" s="7"/>
      <c r="K43" s="12" t="s">
        <v>21</v>
      </c>
      <c r="L43" s="12" t="str">
        <f t="shared" si="0"/>
        <v/>
      </c>
      <c r="M43" s="10" t="str">
        <f>""</f>
        <v/>
      </c>
    </row>
    <row r="44" spans="1:13" ht="12" customHeight="1" x14ac:dyDescent="0.25">
      <c r="A44" s="10" t="s">
        <v>92</v>
      </c>
      <c r="B44" s="10" t="s">
        <v>93</v>
      </c>
      <c r="C44" s="10" t="str">
        <f>"44800000-8"</f>
        <v>44800000-8</v>
      </c>
      <c r="D44" s="11">
        <v>6000</v>
      </c>
      <c r="E44" s="10" t="s">
        <v>19</v>
      </c>
      <c r="F44" s="7"/>
      <c r="G44" s="12" t="s">
        <v>20</v>
      </c>
      <c r="H44" s="7"/>
      <c r="I44" s="7"/>
      <c r="J44" s="7"/>
      <c r="K44" s="12" t="s">
        <v>21</v>
      </c>
      <c r="L44" s="12" t="str">
        <f t="shared" si="0"/>
        <v/>
      </c>
      <c r="M44" s="10" t="str">
        <f>""</f>
        <v/>
      </c>
    </row>
    <row r="45" spans="1:13" ht="12" customHeight="1" x14ac:dyDescent="0.25">
      <c r="A45" s="10" t="s">
        <v>94</v>
      </c>
      <c r="B45" s="10" t="s">
        <v>95</v>
      </c>
      <c r="C45" s="10" t="str">
        <f>"44830000-7"</f>
        <v>44830000-7</v>
      </c>
      <c r="D45" s="11">
        <v>1000</v>
      </c>
      <c r="E45" s="10" t="s">
        <v>19</v>
      </c>
      <c r="F45" s="7"/>
      <c r="G45" s="12" t="s">
        <v>20</v>
      </c>
      <c r="H45" s="7"/>
      <c r="I45" s="7"/>
      <c r="J45" s="7"/>
      <c r="K45" s="12" t="s">
        <v>21</v>
      </c>
      <c r="L45" s="12" t="str">
        <f t="shared" si="0"/>
        <v/>
      </c>
      <c r="M45" s="10" t="str">
        <f>""</f>
        <v/>
      </c>
    </row>
    <row r="46" spans="1:13" ht="12" customHeight="1" x14ac:dyDescent="0.25">
      <c r="A46" s="10" t="s">
        <v>96</v>
      </c>
      <c r="B46" s="10" t="s">
        <v>97</v>
      </c>
      <c r="C46" s="10" t="str">
        <f>"19724000-7"</f>
        <v>19724000-7</v>
      </c>
      <c r="D46" s="11">
        <v>1000</v>
      </c>
      <c r="E46" s="10" t="s">
        <v>19</v>
      </c>
      <c r="F46" s="7"/>
      <c r="G46" s="12" t="s">
        <v>20</v>
      </c>
      <c r="H46" s="7"/>
      <c r="I46" s="7"/>
      <c r="J46" s="7"/>
      <c r="K46" s="12" t="s">
        <v>21</v>
      </c>
      <c r="L46" s="12" t="str">
        <f t="shared" si="0"/>
        <v/>
      </c>
      <c r="M46" s="10" t="str">
        <f>""</f>
        <v/>
      </c>
    </row>
    <row r="47" spans="1:13" ht="12" customHeight="1" x14ac:dyDescent="0.25">
      <c r="A47" s="10" t="s">
        <v>98</v>
      </c>
      <c r="B47" s="10" t="s">
        <v>99</v>
      </c>
      <c r="C47" s="10" t="str">
        <f>"24960000-1"</f>
        <v>24960000-1</v>
      </c>
      <c r="D47" s="13">
        <v>800</v>
      </c>
      <c r="E47" s="10" t="s">
        <v>19</v>
      </c>
      <c r="F47" s="7"/>
      <c r="G47" s="12" t="s">
        <v>20</v>
      </c>
      <c r="H47" s="7"/>
      <c r="I47" s="7"/>
      <c r="J47" s="7"/>
      <c r="K47" s="12" t="s">
        <v>21</v>
      </c>
      <c r="L47" s="12" t="str">
        <f t="shared" si="0"/>
        <v/>
      </c>
      <c r="M47" s="10" t="str">
        <f>""</f>
        <v/>
      </c>
    </row>
    <row r="48" spans="1:13" ht="12" customHeight="1" x14ac:dyDescent="0.25">
      <c r="A48" s="10" t="s">
        <v>100</v>
      </c>
      <c r="B48" s="10" t="s">
        <v>101</v>
      </c>
      <c r="C48" s="10" t="str">
        <f>"30197110-0"</f>
        <v>30197110-0</v>
      </c>
      <c r="D48" s="11">
        <v>6200</v>
      </c>
      <c r="E48" s="10" t="s">
        <v>19</v>
      </c>
      <c r="F48" s="7"/>
      <c r="G48" s="12" t="s">
        <v>20</v>
      </c>
      <c r="H48" s="7"/>
      <c r="I48" s="7"/>
      <c r="J48" s="7"/>
      <c r="K48" s="12" t="s">
        <v>21</v>
      </c>
      <c r="L48" s="12" t="str">
        <f t="shared" si="0"/>
        <v/>
      </c>
      <c r="M48" s="10" t="str">
        <f>""</f>
        <v/>
      </c>
    </row>
    <row r="49" spans="1:13" ht="12" customHeight="1" x14ac:dyDescent="0.25">
      <c r="A49" s="10" t="s">
        <v>102</v>
      </c>
      <c r="B49" s="10" t="s">
        <v>103</v>
      </c>
      <c r="C49" s="10" t="str">
        <f>"14811000-9"</f>
        <v>14811000-9</v>
      </c>
      <c r="D49" s="11">
        <v>1000</v>
      </c>
      <c r="E49" s="10" t="s">
        <v>19</v>
      </c>
      <c r="F49" s="7"/>
      <c r="G49" s="12" t="s">
        <v>20</v>
      </c>
      <c r="H49" s="7"/>
      <c r="I49" s="7"/>
      <c r="J49" s="7"/>
      <c r="K49" s="12" t="s">
        <v>21</v>
      </c>
      <c r="L49" s="12" t="str">
        <f t="shared" si="0"/>
        <v/>
      </c>
      <c r="M49" s="10" t="str">
        <f>""</f>
        <v/>
      </c>
    </row>
    <row r="50" spans="1:13" ht="12" customHeight="1" x14ac:dyDescent="0.25">
      <c r="A50" s="10" t="s">
        <v>104</v>
      </c>
      <c r="B50" s="10" t="s">
        <v>105</v>
      </c>
      <c r="C50" s="10" t="str">
        <f>"39540000-9"</f>
        <v>39540000-9</v>
      </c>
      <c r="D50" s="13">
        <v>500</v>
      </c>
      <c r="E50" s="10" t="s">
        <v>19</v>
      </c>
      <c r="F50" s="7"/>
      <c r="G50" s="12" t="s">
        <v>20</v>
      </c>
      <c r="H50" s="7"/>
      <c r="I50" s="7"/>
      <c r="J50" s="7"/>
      <c r="K50" s="12" t="s">
        <v>21</v>
      </c>
      <c r="L50" s="12" t="str">
        <f t="shared" si="0"/>
        <v/>
      </c>
      <c r="M50" s="10" t="str">
        <f>""</f>
        <v/>
      </c>
    </row>
    <row r="51" spans="1:13" ht="12" customHeight="1" x14ac:dyDescent="0.25">
      <c r="A51" s="10" t="s">
        <v>106</v>
      </c>
      <c r="B51" s="10" t="s">
        <v>107</v>
      </c>
      <c r="C51" s="10" t="str">
        <f>"31711140-6"</f>
        <v>31711140-6</v>
      </c>
      <c r="D51" s="11">
        <v>1000</v>
      </c>
      <c r="E51" s="10" t="s">
        <v>19</v>
      </c>
      <c r="F51" s="7"/>
      <c r="G51" s="12" t="s">
        <v>20</v>
      </c>
      <c r="H51" s="7"/>
      <c r="I51" s="7"/>
      <c r="J51" s="7"/>
      <c r="K51" s="12" t="s">
        <v>21</v>
      </c>
      <c r="L51" s="12" t="str">
        <f t="shared" si="0"/>
        <v/>
      </c>
      <c r="M51" s="10" t="str">
        <f>""</f>
        <v/>
      </c>
    </row>
    <row r="52" spans="1:13" ht="12" customHeight="1" x14ac:dyDescent="0.25">
      <c r="A52" s="10" t="s">
        <v>108</v>
      </c>
      <c r="B52" s="10" t="s">
        <v>109</v>
      </c>
      <c r="C52" s="10" t="str">
        <f>"44423200-3"</f>
        <v>44423200-3</v>
      </c>
      <c r="D52" s="11">
        <v>6500</v>
      </c>
      <c r="E52" s="10" t="s">
        <v>19</v>
      </c>
      <c r="F52" s="7"/>
      <c r="G52" s="12" t="s">
        <v>20</v>
      </c>
      <c r="H52" s="7"/>
      <c r="I52" s="7"/>
      <c r="J52" s="7"/>
      <c r="K52" s="12" t="s">
        <v>21</v>
      </c>
      <c r="L52" s="12" t="str">
        <f t="shared" si="0"/>
        <v/>
      </c>
      <c r="M52" s="10" t="str">
        <f>""</f>
        <v/>
      </c>
    </row>
    <row r="53" spans="1:13" ht="12" customHeight="1" x14ac:dyDescent="0.25">
      <c r="A53" s="10" t="s">
        <v>110</v>
      </c>
      <c r="B53" s="10" t="s">
        <v>111</v>
      </c>
      <c r="C53" s="10" t="str">
        <f>"44511000-5"</f>
        <v>44511000-5</v>
      </c>
      <c r="D53" s="11">
        <v>7000</v>
      </c>
      <c r="E53" s="10" t="s">
        <v>19</v>
      </c>
      <c r="F53" s="7"/>
      <c r="G53" s="12" t="s">
        <v>20</v>
      </c>
      <c r="H53" s="7"/>
      <c r="I53" s="7"/>
      <c r="J53" s="7"/>
      <c r="K53" s="12" t="s">
        <v>21</v>
      </c>
      <c r="L53" s="12" t="str">
        <f t="shared" si="0"/>
        <v/>
      </c>
      <c r="M53" s="10" t="str">
        <f>""</f>
        <v/>
      </c>
    </row>
    <row r="54" spans="1:13" ht="12" customHeight="1" x14ac:dyDescent="0.25">
      <c r="A54" s="10" t="s">
        <v>112</v>
      </c>
      <c r="B54" s="10" t="s">
        <v>113</v>
      </c>
      <c r="C54" s="10" t="str">
        <f>"44522000-5"</f>
        <v>44522000-5</v>
      </c>
      <c r="D54" s="11">
        <v>100000</v>
      </c>
      <c r="E54" s="10" t="s">
        <v>19</v>
      </c>
      <c r="F54" s="7"/>
      <c r="G54" s="12" t="s">
        <v>20</v>
      </c>
      <c r="H54" s="7"/>
      <c r="I54" s="7"/>
      <c r="J54" s="7"/>
      <c r="K54" s="12" t="s">
        <v>21</v>
      </c>
      <c r="L54" s="12" t="str">
        <f t="shared" si="0"/>
        <v/>
      </c>
      <c r="M54" s="10" t="str">
        <f>""</f>
        <v/>
      </c>
    </row>
    <row r="55" spans="1:13" ht="12" customHeight="1" x14ac:dyDescent="0.25">
      <c r="A55" s="10" t="s">
        <v>114</v>
      </c>
      <c r="B55" s="10" t="s">
        <v>115</v>
      </c>
      <c r="C55" s="10" t="str">
        <f>"44522200-7"</f>
        <v>44522200-7</v>
      </c>
      <c r="D55" s="11">
        <v>3000</v>
      </c>
      <c r="E55" s="10" t="s">
        <v>19</v>
      </c>
      <c r="F55" s="7"/>
      <c r="G55" s="12" t="s">
        <v>20</v>
      </c>
      <c r="H55" s="7"/>
      <c r="I55" s="7"/>
      <c r="J55" s="7"/>
      <c r="K55" s="12" t="s">
        <v>21</v>
      </c>
      <c r="L55" s="12" t="str">
        <f t="shared" si="0"/>
        <v/>
      </c>
      <c r="M55" s="10" t="str">
        <f>""</f>
        <v/>
      </c>
    </row>
    <row r="56" spans="1:13" ht="12" customHeight="1" x14ac:dyDescent="0.25">
      <c r="A56" s="10" t="s">
        <v>116</v>
      </c>
      <c r="B56" s="10" t="s">
        <v>117</v>
      </c>
      <c r="C56" s="10" t="str">
        <f>"44110000-4"</f>
        <v>44110000-4</v>
      </c>
      <c r="D56" s="11">
        <v>5000</v>
      </c>
      <c r="E56" s="10" t="s">
        <v>19</v>
      </c>
      <c r="F56" s="7"/>
      <c r="G56" s="12" t="s">
        <v>20</v>
      </c>
      <c r="H56" s="7"/>
      <c r="I56" s="7"/>
      <c r="J56" s="7"/>
      <c r="K56" s="12" t="s">
        <v>21</v>
      </c>
      <c r="L56" s="12" t="str">
        <f t="shared" si="0"/>
        <v/>
      </c>
      <c r="M56" s="10" t="str">
        <f>""</f>
        <v/>
      </c>
    </row>
    <row r="57" spans="1:13" ht="12" customHeight="1" x14ac:dyDescent="0.25">
      <c r="A57" s="10" t="s">
        <v>118</v>
      </c>
      <c r="B57" s="10" t="s">
        <v>119</v>
      </c>
      <c r="C57" s="10" t="str">
        <f>"39715210-2"</f>
        <v>39715210-2</v>
      </c>
      <c r="D57" s="11">
        <v>2000</v>
      </c>
      <c r="E57" s="10" t="s">
        <v>19</v>
      </c>
      <c r="F57" s="7"/>
      <c r="G57" s="12" t="s">
        <v>20</v>
      </c>
      <c r="H57" s="7"/>
      <c r="I57" s="7"/>
      <c r="J57" s="7"/>
      <c r="K57" s="12" t="s">
        <v>21</v>
      </c>
      <c r="L57" s="12" t="str">
        <f t="shared" si="0"/>
        <v/>
      </c>
      <c r="M57" s="10" t="str">
        <f>""</f>
        <v/>
      </c>
    </row>
    <row r="58" spans="1:13" ht="12" customHeight="1" x14ac:dyDescent="0.25">
      <c r="A58" s="10" t="s">
        <v>120</v>
      </c>
      <c r="B58" s="10" t="s">
        <v>121</v>
      </c>
      <c r="C58" s="10" t="str">
        <f>"31200000-8"</f>
        <v>31200000-8</v>
      </c>
      <c r="D58" s="11">
        <v>60000</v>
      </c>
      <c r="E58" s="10" t="s">
        <v>19</v>
      </c>
      <c r="F58" s="7"/>
      <c r="G58" s="12" t="s">
        <v>20</v>
      </c>
      <c r="H58" s="7"/>
      <c r="I58" s="7"/>
      <c r="J58" s="7"/>
      <c r="K58" s="12" t="s">
        <v>21</v>
      </c>
      <c r="L58" s="12" t="str">
        <f t="shared" si="0"/>
        <v/>
      </c>
      <c r="M58" s="10" t="str">
        <f>""</f>
        <v/>
      </c>
    </row>
    <row r="59" spans="1:13" ht="12" customHeight="1" x14ac:dyDescent="0.25">
      <c r="A59" s="10" t="s">
        <v>122</v>
      </c>
      <c r="B59" s="10" t="s">
        <v>123</v>
      </c>
      <c r="C59" s="10" t="str">
        <f>"31430000-9"</f>
        <v>31430000-9</v>
      </c>
      <c r="D59" s="11">
        <v>10000</v>
      </c>
      <c r="E59" s="10" t="s">
        <v>19</v>
      </c>
      <c r="F59" s="7"/>
      <c r="G59" s="12" t="s">
        <v>20</v>
      </c>
      <c r="H59" s="7"/>
      <c r="I59" s="7"/>
      <c r="J59" s="7"/>
      <c r="K59" s="12" t="s">
        <v>21</v>
      </c>
      <c r="L59" s="12" t="str">
        <f t="shared" si="0"/>
        <v/>
      </c>
      <c r="M59" s="10" t="str">
        <f>""</f>
        <v/>
      </c>
    </row>
    <row r="60" spans="1:13" ht="12" customHeight="1" x14ac:dyDescent="0.25">
      <c r="A60" s="10" t="s">
        <v>124</v>
      </c>
      <c r="B60" s="10" t="s">
        <v>125</v>
      </c>
      <c r="C60" s="10" t="str">
        <f>"34432000-4"</f>
        <v>34432000-4</v>
      </c>
      <c r="D60" s="11">
        <v>2000</v>
      </c>
      <c r="E60" s="10" t="s">
        <v>19</v>
      </c>
      <c r="F60" s="7"/>
      <c r="G60" s="12" t="s">
        <v>20</v>
      </c>
      <c r="H60" s="7"/>
      <c r="I60" s="7"/>
      <c r="J60" s="7"/>
      <c r="K60" s="12" t="s">
        <v>21</v>
      </c>
      <c r="L60" s="12" t="str">
        <f t="shared" si="0"/>
        <v/>
      </c>
      <c r="M60" s="10" t="str">
        <f>""</f>
        <v/>
      </c>
    </row>
    <row r="61" spans="1:13" ht="12" customHeight="1" x14ac:dyDescent="0.25">
      <c r="A61" s="10" t="s">
        <v>126</v>
      </c>
      <c r="B61" s="10" t="s">
        <v>127</v>
      </c>
      <c r="C61" s="10" t="str">
        <f>"39721400-6"</f>
        <v>39721400-6</v>
      </c>
      <c r="D61" s="11">
        <v>3000</v>
      </c>
      <c r="E61" s="10" t="s">
        <v>19</v>
      </c>
      <c r="F61" s="7"/>
      <c r="G61" s="12" t="s">
        <v>20</v>
      </c>
      <c r="H61" s="7"/>
      <c r="I61" s="7"/>
      <c r="J61" s="7"/>
      <c r="K61" s="12" t="s">
        <v>21</v>
      </c>
      <c r="L61" s="12" t="str">
        <f t="shared" si="0"/>
        <v/>
      </c>
      <c r="M61" s="10" t="str">
        <f>""</f>
        <v/>
      </c>
    </row>
    <row r="62" spans="1:13" ht="12" customHeight="1" x14ac:dyDescent="0.25">
      <c r="A62" s="10" t="s">
        <v>128</v>
      </c>
      <c r="B62" s="10" t="s">
        <v>129</v>
      </c>
      <c r="C62" s="10" t="str">
        <f>"22462000-6"</f>
        <v>22462000-6</v>
      </c>
      <c r="D62" s="11">
        <v>36400</v>
      </c>
      <c r="E62" s="10" t="s">
        <v>19</v>
      </c>
      <c r="F62" s="7"/>
      <c r="G62" s="12" t="s">
        <v>20</v>
      </c>
      <c r="H62" s="7"/>
      <c r="I62" s="7"/>
      <c r="J62" s="7"/>
      <c r="K62" s="12" t="s">
        <v>21</v>
      </c>
      <c r="L62" s="12" t="str">
        <f t="shared" si="0"/>
        <v/>
      </c>
      <c r="M62" s="10" t="str">
        <f>""</f>
        <v/>
      </c>
    </row>
    <row r="63" spans="1:13" ht="12" customHeight="1" x14ac:dyDescent="0.25">
      <c r="A63" s="10" t="s">
        <v>130</v>
      </c>
      <c r="B63" s="10" t="s">
        <v>131</v>
      </c>
      <c r="C63" s="10" t="str">
        <f>"79340000-9"</f>
        <v>79340000-9</v>
      </c>
      <c r="D63" s="11">
        <v>50000</v>
      </c>
      <c r="E63" s="10" t="s">
        <v>19</v>
      </c>
      <c r="F63" s="7"/>
      <c r="G63" s="12" t="s">
        <v>20</v>
      </c>
      <c r="H63" s="7"/>
      <c r="I63" s="7"/>
      <c r="J63" s="7"/>
      <c r="K63" s="12" t="s">
        <v>132</v>
      </c>
      <c r="L63" s="12" t="str">
        <f t="shared" si="0"/>
        <v/>
      </c>
      <c r="M63" s="10" t="str">
        <f>""</f>
        <v/>
      </c>
    </row>
    <row r="64" spans="1:13" ht="12" customHeight="1" x14ac:dyDescent="0.25">
      <c r="A64" s="10" t="s">
        <v>133</v>
      </c>
      <c r="B64" s="10" t="s">
        <v>134</v>
      </c>
      <c r="C64" s="10" t="str">
        <f>"79341400-0"</f>
        <v>79341400-0</v>
      </c>
      <c r="D64" s="11">
        <v>109900</v>
      </c>
      <c r="E64" s="10" t="s">
        <v>19</v>
      </c>
      <c r="F64" s="7"/>
      <c r="G64" s="12" t="s">
        <v>20</v>
      </c>
      <c r="H64" s="7"/>
      <c r="I64" s="7"/>
      <c r="J64" s="7"/>
      <c r="K64" s="12" t="s">
        <v>132</v>
      </c>
      <c r="L64" s="12" t="str">
        <f t="shared" si="0"/>
        <v/>
      </c>
      <c r="M64" s="10" t="str">
        <f>""</f>
        <v/>
      </c>
    </row>
    <row r="65" spans="1:13" ht="12" customHeight="1" x14ac:dyDescent="0.25">
      <c r="A65" s="10" t="s">
        <v>135</v>
      </c>
      <c r="B65" s="10" t="s">
        <v>136</v>
      </c>
      <c r="C65" s="10" t="str">
        <f t="shared" ref="C65:C75" si="1">"79341000-6"</f>
        <v>79341000-6</v>
      </c>
      <c r="D65" s="11">
        <v>22000</v>
      </c>
      <c r="E65" s="10" t="s">
        <v>19</v>
      </c>
      <c r="F65" s="7"/>
      <c r="G65" s="12" t="s">
        <v>20</v>
      </c>
      <c r="H65" s="7"/>
      <c r="I65" s="7"/>
      <c r="J65" s="7"/>
      <c r="K65" s="12" t="s">
        <v>132</v>
      </c>
      <c r="L65" s="12" t="str">
        <f t="shared" si="0"/>
        <v/>
      </c>
      <c r="M65" s="10" t="str">
        <f>""</f>
        <v/>
      </c>
    </row>
    <row r="66" spans="1:13" ht="12" customHeight="1" x14ac:dyDescent="0.25">
      <c r="A66" s="10" t="s">
        <v>137</v>
      </c>
      <c r="B66" s="10" t="s">
        <v>138</v>
      </c>
      <c r="C66" s="10" t="str">
        <f t="shared" si="1"/>
        <v>79341000-6</v>
      </c>
      <c r="D66" s="11">
        <v>57224</v>
      </c>
      <c r="E66" s="10" t="s">
        <v>19</v>
      </c>
      <c r="F66" s="7"/>
      <c r="G66" s="12" t="s">
        <v>20</v>
      </c>
      <c r="H66" s="7"/>
      <c r="I66" s="7"/>
      <c r="J66" s="7"/>
      <c r="K66" s="12" t="s">
        <v>132</v>
      </c>
      <c r="L66" s="12" t="str">
        <f t="shared" si="0"/>
        <v/>
      </c>
      <c r="M66" s="10" t="str">
        <f>""</f>
        <v/>
      </c>
    </row>
    <row r="67" spans="1:13" ht="12" customHeight="1" x14ac:dyDescent="0.25">
      <c r="A67" s="10" t="s">
        <v>139</v>
      </c>
      <c r="B67" s="10" t="s">
        <v>140</v>
      </c>
      <c r="C67" s="10" t="str">
        <f t="shared" si="1"/>
        <v>79341000-6</v>
      </c>
      <c r="D67" s="11">
        <v>8500</v>
      </c>
      <c r="E67" s="10" t="s">
        <v>19</v>
      </c>
      <c r="F67" s="7"/>
      <c r="G67" s="12" t="s">
        <v>20</v>
      </c>
      <c r="H67" s="7"/>
      <c r="I67" s="7"/>
      <c r="J67" s="7"/>
      <c r="K67" s="12" t="s">
        <v>132</v>
      </c>
      <c r="L67" s="12" t="str">
        <f t="shared" si="0"/>
        <v/>
      </c>
      <c r="M67" s="10" t="str">
        <f>""</f>
        <v/>
      </c>
    </row>
    <row r="68" spans="1:13" ht="12" customHeight="1" x14ac:dyDescent="0.25">
      <c r="A68" s="10" t="s">
        <v>141</v>
      </c>
      <c r="B68" s="10" t="s">
        <v>142</v>
      </c>
      <c r="C68" s="10" t="str">
        <f t="shared" si="1"/>
        <v>79341000-6</v>
      </c>
      <c r="D68" s="11">
        <v>6500</v>
      </c>
      <c r="E68" s="10" t="s">
        <v>19</v>
      </c>
      <c r="F68" s="7"/>
      <c r="G68" s="12" t="s">
        <v>20</v>
      </c>
      <c r="H68" s="7"/>
      <c r="I68" s="7"/>
      <c r="J68" s="7"/>
      <c r="K68" s="12" t="s">
        <v>132</v>
      </c>
      <c r="L68" s="12" t="str">
        <f t="shared" si="0"/>
        <v/>
      </c>
      <c r="M68" s="10" t="str">
        <f>""</f>
        <v/>
      </c>
    </row>
    <row r="69" spans="1:13" ht="12" customHeight="1" x14ac:dyDescent="0.25">
      <c r="A69" s="10" t="s">
        <v>143</v>
      </c>
      <c r="B69" s="10" t="s">
        <v>144</v>
      </c>
      <c r="C69" s="10" t="str">
        <f t="shared" si="1"/>
        <v>79341000-6</v>
      </c>
      <c r="D69" s="11">
        <v>92950</v>
      </c>
      <c r="E69" s="10" t="s">
        <v>19</v>
      </c>
      <c r="F69" s="7"/>
      <c r="G69" s="12" t="s">
        <v>20</v>
      </c>
      <c r="H69" s="7"/>
      <c r="I69" s="7"/>
      <c r="J69" s="7"/>
      <c r="K69" s="12" t="s">
        <v>132</v>
      </c>
      <c r="L69" s="12" t="str">
        <f t="shared" si="0"/>
        <v/>
      </c>
      <c r="M69" s="10" t="str">
        <f>""</f>
        <v/>
      </c>
    </row>
    <row r="70" spans="1:13" ht="12" customHeight="1" x14ac:dyDescent="0.25">
      <c r="A70" s="10" t="s">
        <v>145</v>
      </c>
      <c r="B70" s="10" t="s">
        <v>146</v>
      </c>
      <c r="C70" s="10" t="str">
        <f t="shared" si="1"/>
        <v>79341000-6</v>
      </c>
      <c r="D70" s="11">
        <v>77450</v>
      </c>
      <c r="E70" s="10" t="s">
        <v>19</v>
      </c>
      <c r="F70" s="7"/>
      <c r="G70" s="12" t="s">
        <v>20</v>
      </c>
      <c r="H70" s="7"/>
      <c r="I70" s="7"/>
      <c r="J70" s="7"/>
      <c r="K70" s="12" t="s">
        <v>132</v>
      </c>
      <c r="L70" s="12" t="str">
        <f t="shared" si="0"/>
        <v/>
      </c>
      <c r="M70" s="10" t="str">
        <f>""</f>
        <v/>
      </c>
    </row>
    <row r="71" spans="1:13" ht="12" customHeight="1" x14ac:dyDescent="0.25">
      <c r="A71" s="10" t="s">
        <v>147</v>
      </c>
      <c r="B71" s="10" t="s">
        <v>148</v>
      </c>
      <c r="C71" s="10" t="str">
        <f t="shared" si="1"/>
        <v>79341000-6</v>
      </c>
      <c r="D71" s="11">
        <v>102000</v>
      </c>
      <c r="E71" s="10" t="s">
        <v>19</v>
      </c>
      <c r="F71" s="7"/>
      <c r="G71" s="12" t="s">
        <v>20</v>
      </c>
      <c r="H71" s="7"/>
      <c r="I71" s="7"/>
      <c r="J71" s="7"/>
      <c r="K71" s="12" t="s">
        <v>132</v>
      </c>
      <c r="L71" s="12" t="str">
        <f t="shared" si="0"/>
        <v/>
      </c>
      <c r="M71" s="10" t="str">
        <f>""</f>
        <v/>
      </c>
    </row>
    <row r="72" spans="1:13" ht="12" customHeight="1" x14ac:dyDescent="0.25">
      <c r="A72" s="10" t="s">
        <v>149</v>
      </c>
      <c r="B72" s="10" t="s">
        <v>150</v>
      </c>
      <c r="C72" s="10" t="str">
        <f t="shared" si="1"/>
        <v>79341000-6</v>
      </c>
      <c r="D72" s="11">
        <v>30000</v>
      </c>
      <c r="E72" s="10" t="s">
        <v>19</v>
      </c>
      <c r="F72" s="7"/>
      <c r="G72" s="12" t="s">
        <v>20</v>
      </c>
      <c r="H72" s="7"/>
      <c r="I72" s="7"/>
      <c r="J72" s="7"/>
      <c r="K72" s="12" t="s">
        <v>132</v>
      </c>
      <c r="L72" s="12" t="str">
        <f t="shared" ref="L72:L135" si="2">CONCATENATE("")</f>
        <v/>
      </c>
      <c r="M72" s="10" t="str">
        <f>""</f>
        <v/>
      </c>
    </row>
    <row r="73" spans="1:13" ht="12" customHeight="1" x14ac:dyDescent="0.25">
      <c r="A73" s="10" t="s">
        <v>151</v>
      </c>
      <c r="B73" s="10" t="s">
        <v>152</v>
      </c>
      <c r="C73" s="10" t="str">
        <f t="shared" si="1"/>
        <v>79341000-6</v>
      </c>
      <c r="D73" s="11">
        <v>62600</v>
      </c>
      <c r="E73" s="10" t="s">
        <v>19</v>
      </c>
      <c r="F73" s="7"/>
      <c r="G73" s="12" t="s">
        <v>20</v>
      </c>
      <c r="H73" s="7"/>
      <c r="I73" s="7"/>
      <c r="J73" s="7"/>
      <c r="K73" s="12" t="s">
        <v>132</v>
      </c>
      <c r="L73" s="12" t="str">
        <f t="shared" si="2"/>
        <v/>
      </c>
      <c r="M73" s="10" t="str">
        <f>""</f>
        <v/>
      </c>
    </row>
    <row r="74" spans="1:13" ht="12" customHeight="1" x14ac:dyDescent="0.25">
      <c r="A74" s="10" t="s">
        <v>153</v>
      </c>
      <c r="B74" s="10" t="s">
        <v>154</v>
      </c>
      <c r="C74" s="10" t="str">
        <f t="shared" si="1"/>
        <v>79341000-6</v>
      </c>
      <c r="D74" s="11">
        <v>198400</v>
      </c>
      <c r="E74" s="10" t="s">
        <v>19</v>
      </c>
      <c r="F74" s="7"/>
      <c r="G74" s="12" t="s">
        <v>20</v>
      </c>
      <c r="H74" s="7"/>
      <c r="I74" s="7"/>
      <c r="J74" s="7"/>
      <c r="K74" s="12" t="s">
        <v>132</v>
      </c>
      <c r="L74" s="12" t="str">
        <f t="shared" si="2"/>
        <v/>
      </c>
      <c r="M74" s="10" t="str">
        <f>""</f>
        <v/>
      </c>
    </row>
    <row r="75" spans="1:13" ht="12" customHeight="1" x14ac:dyDescent="0.25">
      <c r="A75" s="10" t="s">
        <v>155</v>
      </c>
      <c r="B75" s="10" t="s">
        <v>156</v>
      </c>
      <c r="C75" s="10" t="str">
        <f t="shared" si="1"/>
        <v>79341000-6</v>
      </c>
      <c r="D75" s="11">
        <v>173000</v>
      </c>
      <c r="E75" s="10" t="s">
        <v>19</v>
      </c>
      <c r="F75" s="7"/>
      <c r="G75" s="12" t="s">
        <v>20</v>
      </c>
      <c r="H75" s="7"/>
      <c r="I75" s="7"/>
      <c r="J75" s="7"/>
      <c r="K75" s="12" t="s">
        <v>132</v>
      </c>
      <c r="L75" s="12" t="str">
        <f t="shared" si="2"/>
        <v/>
      </c>
      <c r="M75" s="10" t="str">
        <f>""</f>
        <v/>
      </c>
    </row>
    <row r="76" spans="1:13" ht="12" customHeight="1" x14ac:dyDescent="0.25">
      <c r="A76" s="10" t="s">
        <v>157</v>
      </c>
      <c r="B76" s="10" t="s">
        <v>158</v>
      </c>
      <c r="C76" s="10" t="str">
        <f>"79342200-5"</f>
        <v>79342200-5</v>
      </c>
      <c r="D76" s="11">
        <v>25000</v>
      </c>
      <c r="E76" s="10" t="s">
        <v>19</v>
      </c>
      <c r="F76" s="7"/>
      <c r="G76" s="12" t="s">
        <v>20</v>
      </c>
      <c r="H76" s="7"/>
      <c r="I76" s="7"/>
      <c r="J76" s="7"/>
      <c r="K76" s="12" t="s">
        <v>132</v>
      </c>
      <c r="L76" s="12" t="str">
        <f t="shared" si="2"/>
        <v/>
      </c>
      <c r="M76" s="10" t="str">
        <f>""</f>
        <v/>
      </c>
    </row>
    <row r="77" spans="1:13" ht="12" customHeight="1" x14ac:dyDescent="0.25">
      <c r="A77" s="10" t="s">
        <v>159</v>
      </c>
      <c r="B77" s="10" t="s">
        <v>160</v>
      </c>
      <c r="C77" s="10" t="str">
        <f>"79822500-7"</f>
        <v>79822500-7</v>
      </c>
      <c r="D77" s="11">
        <v>4000</v>
      </c>
      <c r="E77" s="10" t="s">
        <v>19</v>
      </c>
      <c r="F77" s="7"/>
      <c r="G77" s="12" t="s">
        <v>20</v>
      </c>
      <c r="H77" s="7"/>
      <c r="I77" s="7"/>
      <c r="J77" s="7"/>
      <c r="K77" s="12" t="s">
        <v>132</v>
      </c>
      <c r="L77" s="12" t="str">
        <f t="shared" si="2"/>
        <v/>
      </c>
      <c r="M77" s="10" t="str">
        <f>""</f>
        <v/>
      </c>
    </row>
    <row r="78" spans="1:13" ht="12" customHeight="1" x14ac:dyDescent="0.25">
      <c r="A78" s="10" t="s">
        <v>161</v>
      </c>
      <c r="B78" s="10" t="s">
        <v>162</v>
      </c>
      <c r="C78" s="10" t="str">
        <f>"79822500-7"</f>
        <v>79822500-7</v>
      </c>
      <c r="D78" s="11">
        <v>132000</v>
      </c>
      <c r="E78" s="10" t="s">
        <v>19</v>
      </c>
      <c r="F78" s="7"/>
      <c r="G78" s="12" t="s">
        <v>20</v>
      </c>
      <c r="H78" s="7"/>
      <c r="I78" s="7"/>
      <c r="J78" s="7"/>
      <c r="K78" s="12" t="s">
        <v>132</v>
      </c>
      <c r="L78" s="12" t="str">
        <f t="shared" si="2"/>
        <v/>
      </c>
      <c r="M78" s="10" t="str">
        <f>""</f>
        <v/>
      </c>
    </row>
    <row r="79" spans="1:13" ht="12" customHeight="1" x14ac:dyDescent="0.25">
      <c r="A79" s="10" t="s">
        <v>163</v>
      </c>
      <c r="B79" s="10" t="s">
        <v>164</v>
      </c>
      <c r="C79" s="10" t="str">
        <f>"22459100-3"</f>
        <v>22459100-3</v>
      </c>
      <c r="D79" s="11">
        <v>26000</v>
      </c>
      <c r="E79" s="10" t="s">
        <v>19</v>
      </c>
      <c r="F79" s="7"/>
      <c r="G79" s="12" t="s">
        <v>20</v>
      </c>
      <c r="H79" s="7"/>
      <c r="I79" s="7"/>
      <c r="J79" s="7"/>
      <c r="K79" s="12" t="s">
        <v>21</v>
      </c>
      <c r="L79" s="12" t="str">
        <f t="shared" si="2"/>
        <v/>
      </c>
      <c r="M79" s="10" t="str">
        <f>""</f>
        <v/>
      </c>
    </row>
    <row r="80" spans="1:13" ht="12" customHeight="1" x14ac:dyDescent="0.25">
      <c r="A80" s="10" t="s">
        <v>165</v>
      </c>
      <c r="B80" s="10" t="s">
        <v>166</v>
      </c>
      <c r="C80" s="10" t="str">
        <f>"79340000-9"</f>
        <v>79340000-9</v>
      </c>
      <c r="D80" s="11">
        <v>53600</v>
      </c>
      <c r="E80" s="10" t="s">
        <v>19</v>
      </c>
      <c r="F80" s="7"/>
      <c r="G80" s="12" t="s">
        <v>20</v>
      </c>
      <c r="H80" s="7"/>
      <c r="I80" s="7"/>
      <c r="J80" s="7"/>
      <c r="K80" s="12" t="s">
        <v>132</v>
      </c>
      <c r="L80" s="12" t="str">
        <f t="shared" si="2"/>
        <v/>
      </c>
      <c r="M80" s="10" t="str">
        <f>""</f>
        <v/>
      </c>
    </row>
    <row r="81" spans="1:13" ht="12" customHeight="1" x14ac:dyDescent="0.25">
      <c r="A81" s="10" t="s">
        <v>167</v>
      </c>
      <c r="B81" s="10" t="s">
        <v>168</v>
      </c>
      <c r="C81" s="10" t="str">
        <f>"98351100-9"</f>
        <v>98351100-9</v>
      </c>
      <c r="D81" s="11">
        <v>6500</v>
      </c>
      <c r="E81" s="10" t="s">
        <v>19</v>
      </c>
      <c r="F81" s="7"/>
      <c r="G81" s="12" t="s">
        <v>20</v>
      </c>
      <c r="H81" s="7"/>
      <c r="I81" s="7"/>
      <c r="J81" s="7"/>
      <c r="K81" s="12" t="s">
        <v>132</v>
      </c>
      <c r="L81" s="12" t="str">
        <f t="shared" si="2"/>
        <v/>
      </c>
      <c r="M81" s="10" t="str">
        <f>""</f>
        <v/>
      </c>
    </row>
    <row r="82" spans="1:13" ht="12" customHeight="1" x14ac:dyDescent="0.25">
      <c r="A82" s="10" t="s">
        <v>169</v>
      </c>
      <c r="B82" s="10" t="s">
        <v>170</v>
      </c>
      <c r="C82" s="10" t="str">
        <f>"71610000-7"</f>
        <v>71610000-7</v>
      </c>
      <c r="D82" s="11">
        <v>60000</v>
      </c>
      <c r="E82" s="10" t="s">
        <v>19</v>
      </c>
      <c r="F82" s="7"/>
      <c r="G82" s="12" t="s">
        <v>20</v>
      </c>
      <c r="H82" s="7"/>
      <c r="I82" s="7"/>
      <c r="J82" s="7"/>
      <c r="K82" s="12" t="s">
        <v>132</v>
      </c>
      <c r="L82" s="12" t="str">
        <f t="shared" si="2"/>
        <v/>
      </c>
      <c r="M82" s="10" t="str">
        <f>""</f>
        <v/>
      </c>
    </row>
    <row r="83" spans="1:13" ht="12" customHeight="1" x14ac:dyDescent="0.25">
      <c r="A83" s="10" t="s">
        <v>171</v>
      </c>
      <c r="B83" s="10" t="s">
        <v>172</v>
      </c>
      <c r="C83" s="10" t="str">
        <f>"90921000-9"</f>
        <v>90921000-9</v>
      </c>
      <c r="D83" s="11">
        <v>34700</v>
      </c>
      <c r="E83" s="10" t="s">
        <v>19</v>
      </c>
      <c r="F83" s="7"/>
      <c r="G83" s="12" t="s">
        <v>20</v>
      </c>
      <c r="H83" s="7"/>
      <c r="I83" s="7"/>
      <c r="J83" s="7"/>
      <c r="K83" s="12" t="s">
        <v>132</v>
      </c>
      <c r="L83" s="12" t="str">
        <f t="shared" si="2"/>
        <v/>
      </c>
      <c r="M83" s="10" t="str">
        <f>""</f>
        <v/>
      </c>
    </row>
    <row r="84" spans="1:13" ht="12" customHeight="1" x14ac:dyDescent="0.25">
      <c r="A84" s="10" t="s">
        <v>173</v>
      </c>
      <c r="B84" s="10" t="s">
        <v>174</v>
      </c>
      <c r="C84" s="10" t="str">
        <f>"90915000-4"</f>
        <v>90915000-4</v>
      </c>
      <c r="D84" s="11">
        <v>3000</v>
      </c>
      <c r="E84" s="10" t="s">
        <v>19</v>
      </c>
      <c r="F84" s="7"/>
      <c r="G84" s="12" t="s">
        <v>20</v>
      </c>
      <c r="H84" s="7"/>
      <c r="I84" s="7"/>
      <c r="J84" s="7"/>
      <c r="K84" s="12" t="s">
        <v>132</v>
      </c>
      <c r="L84" s="12" t="str">
        <f t="shared" si="2"/>
        <v/>
      </c>
      <c r="M84" s="10" t="str">
        <f>""</f>
        <v/>
      </c>
    </row>
    <row r="85" spans="1:13" ht="12" customHeight="1" x14ac:dyDescent="0.25">
      <c r="A85" s="10" t="s">
        <v>175</v>
      </c>
      <c r="B85" s="10" t="s">
        <v>176</v>
      </c>
      <c r="C85" s="10" t="str">
        <f>"85121100-4"</f>
        <v>85121100-4</v>
      </c>
      <c r="D85" s="11">
        <v>1500</v>
      </c>
      <c r="E85" s="10" t="s">
        <v>19</v>
      </c>
      <c r="F85" s="7"/>
      <c r="G85" s="12" t="s">
        <v>20</v>
      </c>
      <c r="H85" s="7"/>
      <c r="I85" s="7"/>
      <c r="J85" s="7"/>
      <c r="K85" s="12" t="s">
        <v>132</v>
      </c>
      <c r="L85" s="12" t="str">
        <f t="shared" si="2"/>
        <v/>
      </c>
      <c r="M85" s="10" t="str">
        <f>""</f>
        <v/>
      </c>
    </row>
    <row r="86" spans="1:13" ht="12" customHeight="1" x14ac:dyDescent="0.25">
      <c r="A86" s="10" t="s">
        <v>177</v>
      </c>
      <c r="B86" s="10" t="s">
        <v>178</v>
      </c>
      <c r="C86" s="10" t="str">
        <f>"85140000-2"</f>
        <v>85140000-2</v>
      </c>
      <c r="D86" s="11">
        <v>23500</v>
      </c>
      <c r="E86" s="10" t="s">
        <v>19</v>
      </c>
      <c r="F86" s="7"/>
      <c r="G86" s="12" t="s">
        <v>20</v>
      </c>
      <c r="H86" s="7"/>
      <c r="I86" s="7"/>
      <c r="J86" s="7"/>
      <c r="K86" s="12" t="s">
        <v>132</v>
      </c>
      <c r="L86" s="12" t="str">
        <f t="shared" si="2"/>
        <v/>
      </c>
      <c r="M86" s="10" t="str">
        <f>""</f>
        <v/>
      </c>
    </row>
    <row r="87" spans="1:13" ht="12" customHeight="1" x14ac:dyDescent="0.25">
      <c r="A87" s="10" t="s">
        <v>179</v>
      </c>
      <c r="B87" s="10" t="s">
        <v>180</v>
      </c>
      <c r="C87" s="10" t="str">
        <f>"79212000-3"</f>
        <v>79212000-3</v>
      </c>
      <c r="D87" s="11">
        <v>30000</v>
      </c>
      <c r="E87" s="10" t="s">
        <v>19</v>
      </c>
      <c r="F87" s="7"/>
      <c r="G87" s="12" t="s">
        <v>20</v>
      </c>
      <c r="H87" s="7"/>
      <c r="I87" s="7"/>
      <c r="J87" s="7"/>
      <c r="K87" s="12" t="s">
        <v>132</v>
      </c>
      <c r="L87" s="12" t="str">
        <f t="shared" si="2"/>
        <v/>
      </c>
      <c r="M87" s="10" t="str">
        <f>""</f>
        <v/>
      </c>
    </row>
    <row r="88" spans="1:13" ht="12" customHeight="1" x14ac:dyDescent="0.25">
      <c r="A88" s="10" t="s">
        <v>181</v>
      </c>
      <c r="B88" s="10" t="s">
        <v>182</v>
      </c>
      <c r="C88" s="10" t="str">
        <f>"71314000-2"</f>
        <v>71314000-2</v>
      </c>
      <c r="D88" s="11">
        <v>10000</v>
      </c>
      <c r="E88" s="10" t="s">
        <v>19</v>
      </c>
      <c r="F88" s="7"/>
      <c r="G88" s="12" t="s">
        <v>20</v>
      </c>
      <c r="H88" s="7"/>
      <c r="I88" s="7"/>
      <c r="J88" s="7"/>
      <c r="K88" s="12" t="s">
        <v>132</v>
      </c>
      <c r="L88" s="12" t="str">
        <f t="shared" si="2"/>
        <v/>
      </c>
      <c r="M88" s="10" t="str">
        <f>""</f>
        <v/>
      </c>
    </row>
    <row r="89" spans="1:13" ht="12" customHeight="1" x14ac:dyDescent="0.25">
      <c r="A89" s="10" t="s">
        <v>183</v>
      </c>
      <c r="B89" s="10" t="s">
        <v>184</v>
      </c>
      <c r="C89" s="10" t="str">
        <f>"79212100-4"</f>
        <v>79212100-4</v>
      </c>
      <c r="D89" s="11">
        <v>70000</v>
      </c>
      <c r="E89" s="10" t="s">
        <v>19</v>
      </c>
      <c r="F89" s="7"/>
      <c r="G89" s="12" t="s">
        <v>20</v>
      </c>
      <c r="H89" s="7"/>
      <c r="I89" s="7"/>
      <c r="J89" s="7"/>
      <c r="K89" s="12" t="s">
        <v>132</v>
      </c>
      <c r="L89" s="12" t="str">
        <f t="shared" si="2"/>
        <v/>
      </c>
      <c r="M89" s="10" t="str">
        <f>""</f>
        <v/>
      </c>
    </row>
    <row r="90" spans="1:13" ht="12" customHeight="1" x14ac:dyDescent="0.25">
      <c r="A90" s="10" t="s">
        <v>185</v>
      </c>
      <c r="B90" s="10" t="s">
        <v>186</v>
      </c>
      <c r="C90" s="10" t="str">
        <f>"71314000-2"</f>
        <v>71314000-2</v>
      </c>
      <c r="D90" s="11">
        <v>7000</v>
      </c>
      <c r="E90" s="10" t="s">
        <v>19</v>
      </c>
      <c r="F90" s="7"/>
      <c r="G90" s="12" t="s">
        <v>20</v>
      </c>
      <c r="H90" s="7"/>
      <c r="I90" s="7"/>
      <c r="J90" s="7"/>
      <c r="K90" s="12" t="s">
        <v>132</v>
      </c>
      <c r="L90" s="12" t="str">
        <f t="shared" si="2"/>
        <v/>
      </c>
      <c r="M90" s="10" t="str">
        <f>""</f>
        <v/>
      </c>
    </row>
    <row r="91" spans="1:13" ht="12" customHeight="1" x14ac:dyDescent="0.25">
      <c r="A91" s="10" t="s">
        <v>187</v>
      </c>
      <c r="B91" s="10" t="s">
        <v>188</v>
      </c>
      <c r="C91" s="10" t="str">
        <f>"71242000-6"</f>
        <v>71242000-6</v>
      </c>
      <c r="D91" s="11">
        <v>60000</v>
      </c>
      <c r="E91" s="10" t="s">
        <v>19</v>
      </c>
      <c r="F91" s="7"/>
      <c r="G91" s="12" t="s">
        <v>20</v>
      </c>
      <c r="H91" s="7"/>
      <c r="I91" s="7"/>
      <c r="J91" s="7"/>
      <c r="K91" s="12" t="s">
        <v>132</v>
      </c>
      <c r="L91" s="12" t="str">
        <f t="shared" si="2"/>
        <v/>
      </c>
      <c r="M91" s="10" t="str">
        <f>""</f>
        <v/>
      </c>
    </row>
    <row r="92" spans="1:13" ht="12" customHeight="1" x14ac:dyDescent="0.25">
      <c r="A92" s="10" t="s">
        <v>189</v>
      </c>
      <c r="B92" s="10" t="s">
        <v>190</v>
      </c>
      <c r="C92" s="10" t="str">
        <f>"71242000-6"</f>
        <v>71242000-6</v>
      </c>
      <c r="D92" s="11">
        <v>4000</v>
      </c>
      <c r="E92" s="10" t="s">
        <v>19</v>
      </c>
      <c r="F92" s="7"/>
      <c r="G92" s="12" t="s">
        <v>20</v>
      </c>
      <c r="H92" s="7"/>
      <c r="I92" s="7"/>
      <c r="J92" s="7"/>
      <c r="K92" s="12" t="s">
        <v>132</v>
      </c>
      <c r="L92" s="12" t="str">
        <f t="shared" si="2"/>
        <v/>
      </c>
      <c r="M92" s="10" t="str">
        <f>""</f>
        <v/>
      </c>
    </row>
    <row r="93" spans="1:13" ht="12" customHeight="1" x14ac:dyDescent="0.25">
      <c r="A93" s="10" t="s">
        <v>191</v>
      </c>
      <c r="B93" s="10" t="s">
        <v>192</v>
      </c>
      <c r="C93" s="10" t="str">
        <f>"66516000-0"</f>
        <v>66516000-0</v>
      </c>
      <c r="D93" s="11">
        <v>95000</v>
      </c>
      <c r="E93" s="10" t="s">
        <v>19</v>
      </c>
      <c r="F93" s="7"/>
      <c r="G93" s="12" t="s">
        <v>20</v>
      </c>
      <c r="H93" s="7"/>
      <c r="I93" s="7"/>
      <c r="J93" s="7"/>
      <c r="K93" s="12" t="s">
        <v>132</v>
      </c>
      <c r="L93" s="12" t="str">
        <f t="shared" si="2"/>
        <v/>
      </c>
      <c r="M93" s="10" t="str">
        <f>""</f>
        <v/>
      </c>
    </row>
    <row r="94" spans="1:13" ht="12" customHeight="1" x14ac:dyDescent="0.25">
      <c r="A94" s="10" t="s">
        <v>193</v>
      </c>
      <c r="B94" s="10" t="s">
        <v>194</v>
      </c>
      <c r="C94" s="10" t="str">
        <f>"48321000-4"</f>
        <v>48321000-4</v>
      </c>
      <c r="D94" s="11">
        <v>114000</v>
      </c>
      <c r="E94" s="10" t="s">
        <v>19</v>
      </c>
      <c r="F94" s="7"/>
      <c r="G94" s="12" t="s">
        <v>20</v>
      </c>
      <c r="H94" s="7"/>
      <c r="I94" s="7"/>
      <c r="J94" s="7"/>
      <c r="K94" s="12" t="s">
        <v>21</v>
      </c>
      <c r="L94" s="12" t="str">
        <f t="shared" si="2"/>
        <v/>
      </c>
      <c r="M94" s="10" t="str">
        <f>""</f>
        <v/>
      </c>
    </row>
    <row r="95" spans="1:13" ht="12" customHeight="1" x14ac:dyDescent="0.25">
      <c r="A95" s="10" t="s">
        <v>195</v>
      </c>
      <c r="B95" s="10" t="s">
        <v>196</v>
      </c>
      <c r="C95" s="10" t="str">
        <f>"48320000-7"</f>
        <v>48320000-7</v>
      </c>
      <c r="D95" s="11">
        <v>15500</v>
      </c>
      <c r="E95" s="10" t="s">
        <v>19</v>
      </c>
      <c r="F95" s="7"/>
      <c r="G95" s="12" t="s">
        <v>20</v>
      </c>
      <c r="H95" s="7"/>
      <c r="I95" s="7"/>
      <c r="J95" s="7"/>
      <c r="K95" s="12" t="s">
        <v>21</v>
      </c>
      <c r="L95" s="12" t="str">
        <f t="shared" si="2"/>
        <v/>
      </c>
      <c r="M95" s="10" t="str">
        <f>""</f>
        <v/>
      </c>
    </row>
    <row r="96" spans="1:13" ht="12" customHeight="1" x14ac:dyDescent="0.25">
      <c r="A96" s="10" t="s">
        <v>197</v>
      </c>
      <c r="B96" s="10" t="s">
        <v>198</v>
      </c>
      <c r="C96" s="10" t="str">
        <f>"72400000-4"</f>
        <v>72400000-4</v>
      </c>
      <c r="D96" s="11">
        <v>48000</v>
      </c>
      <c r="E96" s="10" t="s">
        <v>19</v>
      </c>
      <c r="F96" s="7"/>
      <c r="G96" s="12" t="s">
        <v>20</v>
      </c>
      <c r="H96" s="7"/>
      <c r="I96" s="7"/>
      <c r="J96" s="7"/>
      <c r="K96" s="12" t="s">
        <v>132</v>
      </c>
      <c r="L96" s="12" t="str">
        <f t="shared" si="2"/>
        <v/>
      </c>
      <c r="M96" s="10" t="str">
        <f>""</f>
        <v/>
      </c>
    </row>
    <row r="97" spans="1:13" ht="12" customHeight="1" x14ac:dyDescent="0.25">
      <c r="A97" s="10" t="s">
        <v>199</v>
      </c>
      <c r="B97" s="10" t="s">
        <v>200</v>
      </c>
      <c r="C97" s="10" t="str">
        <f>"48320000-7"</f>
        <v>48320000-7</v>
      </c>
      <c r="D97" s="11">
        <v>23000</v>
      </c>
      <c r="E97" s="10" t="s">
        <v>19</v>
      </c>
      <c r="F97" s="7"/>
      <c r="G97" s="12" t="s">
        <v>20</v>
      </c>
      <c r="H97" s="7"/>
      <c r="I97" s="7"/>
      <c r="J97" s="7"/>
      <c r="K97" s="12" t="s">
        <v>21</v>
      </c>
      <c r="L97" s="12" t="str">
        <f t="shared" si="2"/>
        <v/>
      </c>
      <c r="M97" s="10" t="str">
        <f>""</f>
        <v/>
      </c>
    </row>
    <row r="98" spans="1:13" ht="12" customHeight="1" x14ac:dyDescent="0.25">
      <c r="A98" s="10" t="s">
        <v>201</v>
      </c>
      <c r="B98" s="10" t="s">
        <v>202</v>
      </c>
      <c r="C98" s="10" t="str">
        <f>"72317000-0"</f>
        <v>72317000-0</v>
      </c>
      <c r="D98" s="11">
        <v>1000</v>
      </c>
      <c r="E98" s="10" t="s">
        <v>19</v>
      </c>
      <c r="F98" s="7"/>
      <c r="G98" s="12" t="s">
        <v>20</v>
      </c>
      <c r="H98" s="7"/>
      <c r="I98" s="7"/>
      <c r="J98" s="7"/>
      <c r="K98" s="12" t="s">
        <v>132</v>
      </c>
      <c r="L98" s="12" t="str">
        <f t="shared" si="2"/>
        <v/>
      </c>
      <c r="M98" s="10" t="str">
        <f>""</f>
        <v/>
      </c>
    </row>
    <row r="99" spans="1:13" ht="12" customHeight="1" x14ac:dyDescent="0.25">
      <c r="A99" s="10" t="s">
        <v>203</v>
      </c>
      <c r="B99" s="10" t="s">
        <v>204</v>
      </c>
      <c r="C99" s="10" t="str">
        <f>"72267100-0"</f>
        <v>72267100-0</v>
      </c>
      <c r="D99" s="11">
        <v>20000</v>
      </c>
      <c r="E99" s="10" t="s">
        <v>19</v>
      </c>
      <c r="F99" s="7"/>
      <c r="G99" s="12" t="s">
        <v>20</v>
      </c>
      <c r="H99" s="7"/>
      <c r="I99" s="7"/>
      <c r="J99" s="7"/>
      <c r="K99" s="12" t="s">
        <v>132</v>
      </c>
      <c r="L99" s="12" t="str">
        <f t="shared" si="2"/>
        <v/>
      </c>
      <c r="M99" s="10" t="str">
        <f>""</f>
        <v/>
      </c>
    </row>
    <row r="100" spans="1:13" ht="12" customHeight="1" x14ac:dyDescent="0.25">
      <c r="A100" s="10" t="s">
        <v>205</v>
      </c>
      <c r="B100" s="10" t="s">
        <v>206</v>
      </c>
      <c r="C100" s="10" t="str">
        <f>"71631200-2"</f>
        <v>71631200-2</v>
      </c>
      <c r="D100" s="11">
        <v>34000</v>
      </c>
      <c r="E100" s="10" t="s">
        <v>19</v>
      </c>
      <c r="F100" s="7"/>
      <c r="G100" s="12" t="s">
        <v>20</v>
      </c>
      <c r="H100" s="7"/>
      <c r="I100" s="7"/>
      <c r="J100" s="7"/>
      <c r="K100" s="12" t="s">
        <v>132</v>
      </c>
      <c r="L100" s="12" t="str">
        <f t="shared" si="2"/>
        <v/>
      </c>
      <c r="M100" s="10" t="str">
        <f>""</f>
        <v/>
      </c>
    </row>
    <row r="101" spans="1:13" ht="12" customHeight="1" x14ac:dyDescent="0.25">
      <c r="A101" s="10" t="s">
        <v>207</v>
      </c>
      <c r="B101" s="10" t="s">
        <v>208</v>
      </c>
      <c r="C101" s="10" t="str">
        <f>"72267100-0"</f>
        <v>72267100-0</v>
      </c>
      <c r="D101" s="11">
        <v>199500</v>
      </c>
      <c r="E101" s="10" t="s">
        <v>19</v>
      </c>
      <c r="F101" s="7"/>
      <c r="G101" s="12" t="s">
        <v>20</v>
      </c>
      <c r="H101" s="7"/>
      <c r="I101" s="7"/>
      <c r="J101" s="7"/>
      <c r="K101" s="12" t="s">
        <v>132</v>
      </c>
      <c r="L101" s="12" t="str">
        <f t="shared" si="2"/>
        <v/>
      </c>
      <c r="M101" s="10" t="str">
        <f>""</f>
        <v/>
      </c>
    </row>
    <row r="102" spans="1:13" ht="12" customHeight="1" x14ac:dyDescent="0.25">
      <c r="A102" s="10" t="s">
        <v>209</v>
      </c>
      <c r="B102" s="10" t="s">
        <v>210</v>
      </c>
      <c r="C102" s="10" t="str">
        <f>"79341000-6"</f>
        <v>79341000-6</v>
      </c>
      <c r="D102" s="11">
        <v>16000</v>
      </c>
      <c r="E102" s="10" t="s">
        <v>19</v>
      </c>
      <c r="F102" s="7"/>
      <c r="G102" s="12" t="s">
        <v>20</v>
      </c>
      <c r="H102" s="7"/>
      <c r="I102" s="7"/>
      <c r="J102" s="7"/>
      <c r="K102" s="12" t="s">
        <v>132</v>
      </c>
      <c r="L102" s="12" t="str">
        <f t="shared" si="2"/>
        <v/>
      </c>
      <c r="M102" s="10" t="str">
        <f>""</f>
        <v/>
      </c>
    </row>
    <row r="103" spans="1:13" ht="12" customHeight="1" x14ac:dyDescent="0.25">
      <c r="A103" s="10" t="s">
        <v>211</v>
      </c>
      <c r="B103" s="10" t="s">
        <v>212</v>
      </c>
      <c r="C103" s="10" t="str">
        <f>"79961000-8"</f>
        <v>79961000-8</v>
      </c>
      <c r="D103" s="11">
        <v>27400</v>
      </c>
      <c r="E103" s="10" t="s">
        <v>19</v>
      </c>
      <c r="F103" s="7"/>
      <c r="G103" s="12" t="s">
        <v>20</v>
      </c>
      <c r="H103" s="7"/>
      <c r="I103" s="7"/>
      <c r="J103" s="7"/>
      <c r="K103" s="12" t="s">
        <v>132</v>
      </c>
      <c r="L103" s="12" t="str">
        <f t="shared" si="2"/>
        <v/>
      </c>
      <c r="M103" s="10" t="str">
        <f>""</f>
        <v/>
      </c>
    </row>
    <row r="104" spans="1:13" ht="12" customHeight="1" x14ac:dyDescent="0.25">
      <c r="A104" s="10" t="s">
        <v>213</v>
      </c>
      <c r="B104" s="10" t="s">
        <v>214</v>
      </c>
      <c r="C104" s="10" t="str">
        <f>"79500000-9"</f>
        <v>79500000-9</v>
      </c>
      <c r="D104" s="11">
        <v>21600</v>
      </c>
      <c r="E104" s="10" t="s">
        <v>19</v>
      </c>
      <c r="F104" s="7"/>
      <c r="G104" s="12" t="s">
        <v>20</v>
      </c>
      <c r="H104" s="7"/>
      <c r="I104" s="7"/>
      <c r="J104" s="7"/>
      <c r="K104" s="12" t="s">
        <v>132</v>
      </c>
      <c r="L104" s="12" t="str">
        <f t="shared" si="2"/>
        <v/>
      </c>
      <c r="M104" s="10" t="str">
        <f>""</f>
        <v/>
      </c>
    </row>
    <row r="105" spans="1:13" ht="12" customHeight="1" x14ac:dyDescent="0.25">
      <c r="A105" s="10" t="s">
        <v>215</v>
      </c>
      <c r="B105" s="10" t="s">
        <v>216</v>
      </c>
      <c r="C105" s="10" t="str">
        <f>"35821000-5"</f>
        <v>35821000-5</v>
      </c>
      <c r="D105" s="11">
        <v>10000</v>
      </c>
      <c r="E105" s="10" t="s">
        <v>19</v>
      </c>
      <c r="F105" s="7"/>
      <c r="G105" s="12" t="s">
        <v>20</v>
      </c>
      <c r="H105" s="7"/>
      <c r="I105" s="7"/>
      <c r="J105" s="7"/>
      <c r="K105" s="12" t="s">
        <v>21</v>
      </c>
      <c r="L105" s="12" t="str">
        <f t="shared" si="2"/>
        <v/>
      </c>
      <c r="M105" s="10" t="str">
        <f>""</f>
        <v/>
      </c>
    </row>
    <row r="106" spans="1:13" ht="12" customHeight="1" x14ac:dyDescent="0.25">
      <c r="A106" s="10" t="s">
        <v>217</v>
      </c>
      <c r="B106" s="10" t="s">
        <v>218</v>
      </c>
      <c r="C106" s="10" t="str">
        <f>"35810000-5"</f>
        <v>35810000-5</v>
      </c>
      <c r="D106" s="11">
        <v>1700</v>
      </c>
      <c r="E106" s="10" t="s">
        <v>19</v>
      </c>
      <c r="F106" s="7"/>
      <c r="G106" s="12" t="s">
        <v>20</v>
      </c>
      <c r="H106" s="7"/>
      <c r="I106" s="7"/>
      <c r="J106" s="7"/>
      <c r="K106" s="12" t="s">
        <v>21</v>
      </c>
      <c r="L106" s="12" t="str">
        <f t="shared" si="2"/>
        <v/>
      </c>
      <c r="M106" s="10" t="str">
        <f>""</f>
        <v/>
      </c>
    </row>
    <row r="107" spans="1:13" ht="12" customHeight="1" x14ac:dyDescent="0.25">
      <c r="A107" s="10" t="s">
        <v>219</v>
      </c>
      <c r="B107" s="10" t="s">
        <v>220</v>
      </c>
      <c r="C107" s="10" t="str">
        <f>"35811100-3"</f>
        <v>35811100-3</v>
      </c>
      <c r="D107" s="11">
        <v>1000</v>
      </c>
      <c r="E107" s="10" t="s">
        <v>19</v>
      </c>
      <c r="F107" s="7"/>
      <c r="G107" s="12" t="s">
        <v>20</v>
      </c>
      <c r="H107" s="7"/>
      <c r="I107" s="7"/>
      <c r="J107" s="7"/>
      <c r="K107" s="12" t="s">
        <v>21</v>
      </c>
      <c r="L107" s="12" t="str">
        <f t="shared" si="2"/>
        <v/>
      </c>
      <c r="M107" s="10" t="str">
        <f>""</f>
        <v/>
      </c>
    </row>
    <row r="108" spans="1:13" ht="12" customHeight="1" x14ac:dyDescent="0.25">
      <c r="A108" s="10" t="s">
        <v>221</v>
      </c>
      <c r="B108" s="10" t="s">
        <v>222</v>
      </c>
      <c r="C108" s="10" t="str">
        <f>"18000000-9"</f>
        <v>18000000-9</v>
      </c>
      <c r="D108" s="11">
        <v>25000</v>
      </c>
      <c r="E108" s="10" t="s">
        <v>19</v>
      </c>
      <c r="F108" s="7"/>
      <c r="G108" s="12" t="s">
        <v>20</v>
      </c>
      <c r="H108" s="7"/>
      <c r="I108" s="7"/>
      <c r="J108" s="7"/>
      <c r="K108" s="12" t="s">
        <v>21</v>
      </c>
      <c r="L108" s="12" t="str">
        <f t="shared" si="2"/>
        <v/>
      </c>
      <c r="M108" s="10" t="str">
        <f>""</f>
        <v/>
      </c>
    </row>
    <row r="109" spans="1:13" ht="12" customHeight="1" x14ac:dyDescent="0.25">
      <c r="A109" s="10" t="s">
        <v>223</v>
      </c>
      <c r="B109" s="10" t="s">
        <v>224</v>
      </c>
      <c r="C109" s="10" t="str">
        <f>"18830000-6"</f>
        <v>18830000-6</v>
      </c>
      <c r="D109" s="11">
        <v>11600</v>
      </c>
      <c r="E109" s="10" t="s">
        <v>19</v>
      </c>
      <c r="F109" s="7"/>
      <c r="G109" s="12" t="s">
        <v>20</v>
      </c>
      <c r="H109" s="7"/>
      <c r="I109" s="7"/>
      <c r="J109" s="7"/>
      <c r="K109" s="12" t="s">
        <v>21</v>
      </c>
      <c r="L109" s="12" t="str">
        <f t="shared" si="2"/>
        <v/>
      </c>
      <c r="M109" s="10" t="str">
        <f>""</f>
        <v/>
      </c>
    </row>
    <row r="110" spans="1:13" ht="12" customHeight="1" x14ac:dyDescent="0.25">
      <c r="A110" s="10" t="s">
        <v>225</v>
      </c>
      <c r="B110" s="10" t="s">
        <v>226</v>
      </c>
      <c r="C110" s="10" t="str">
        <f>"34350000-5"</f>
        <v>34350000-5</v>
      </c>
      <c r="D110" s="11">
        <v>11200</v>
      </c>
      <c r="E110" s="10" t="s">
        <v>19</v>
      </c>
      <c r="F110" s="7"/>
      <c r="G110" s="12" t="s">
        <v>20</v>
      </c>
      <c r="H110" s="7"/>
      <c r="I110" s="7"/>
      <c r="J110" s="7"/>
      <c r="K110" s="12" t="s">
        <v>21</v>
      </c>
      <c r="L110" s="12" t="str">
        <f t="shared" si="2"/>
        <v/>
      </c>
      <c r="M110" s="10" t="str">
        <f>""</f>
        <v/>
      </c>
    </row>
    <row r="111" spans="1:13" ht="12" customHeight="1" x14ac:dyDescent="0.25">
      <c r="A111" s="10" t="s">
        <v>227</v>
      </c>
      <c r="B111" s="10" t="s">
        <v>228</v>
      </c>
      <c r="C111" s="10" t="str">
        <f>"44482000-2"</f>
        <v>44482000-2</v>
      </c>
      <c r="D111" s="11">
        <v>1100</v>
      </c>
      <c r="E111" s="10" t="s">
        <v>19</v>
      </c>
      <c r="F111" s="7"/>
      <c r="G111" s="12" t="s">
        <v>20</v>
      </c>
      <c r="H111" s="7"/>
      <c r="I111" s="7"/>
      <c r="J111" s="7"/>
      <c r="K111" s="12" t="s">
        <v>21</v>
      </c>
      <c r="L111" s="12" t="str">
        <f t="shared" si="2"/>
        <v/>
      </c>
      <c r="M111" s="10" t="str">
        <f>""</f>
        <v/>
      </c>
    </row>
    <row r="112" spans="1:13" ht="12" customHeight="1" x14ac:dyDescent="0.25">
      <c r="A112" s="10" t="s">
        <v>229</v>
      </c>
      <c r="B112" s="10" t="s">
        <v>230</v>
      </c>
      <c r="C112" s="10" t="str">
        <f>"44511000-5"</f>
        <v>44511000-5</v>
      </c>
      <c r="D112" s="13">
        <v>500</v>
      </c>
      <c r="E112" s="10" t="s">
        <v>19</v>
      </c>
      <c r="F112" s="7"/>
      <c r="G112" s="12" t="s">
        <v>20</v>
      </c>
      <c r="H112" s="7"/>
      <c r="I112" s="7"/>
      <c r="J112" s="7"/>
      <c r="K112" s="12" t="s">
        <v>21</v>
      </c>
      <c r="L112" s="12" t="str">
        <f t="shared" si="2"/>
        <v/>
      </c>
      <c r="M112" s="10" t="str">
        <f>""</f>
        <v/>
      </c>
    </row>
    <row r="113" spans="1:13" ht="12" customHeight="1" x14ac:dyDescent="0.25">
      <c r="A113" s="10" t="s">
        <v>231</v>
      </c>
      <c r="B113" s="10" t="s">
        <v>232</v>
      </c>
      <c r="C113" s="10" t="str">
        <f>"44512000-2"</f>
        <v>44512000-2</v>
      </c>
      <c r="D113" s="11">
        <v>1500</v>
      </c>
      <c r="E113" s="10" t="s">
        <v>19</v>
      </c>
      <c r="F113" s="7"/>
      <c r="G113" s="12" t="s">
        <v>20</v>
      </c>
      <c r="H113" s="7"/>
      <c r="I113" s="7"/>
      <c r="J113" s="7"/>
      <c r="K113" s="12" t="s">
        <v>21</v>
      </c>
      <c r="L113" s="12" t="str">
        <f t="shared" si="2"/>
        <v/>
      </c>
      <c r="M113" s="10" t="str">
        <f>""</f>
        <v/>
      </c>
    </row>
    <row r="114" spans="1:13" ht="12" customHeight="1" x14ac:dyDescent="0.25">
      <c r="A114" s="10" t="s">
        <v>233</v>
      </c>
      <c r="B114" s="10" t="s">
        <v>234</v>
      </c>
      <c r="C114" s="10" t="str">
        <f>"43830000-0"</f>
        <v>43830000-0</v>
      </c>
      <c r="D114" s="11">
        <v>17900</v>
      </c>
      <c r="E114" s="10" t="s">
        <v>19</v>
      </c>
      <c r="F114" s="7"/>
      <c r="G114" s="12" t="s">
        <v>20</v>
      </c>
      <c r="H114" s="7"/>
      <c r="I114" s="7"/>
      <c r="J114" s="7"/>
      <c r="K114" s="12" t="s">
        <v>21</v>
      </c>
      <c r="L114" s="12" t="str">
        <f t="shared" si="2"/>
        <v/>
      </c>
      <c r="M114" s="10" t="str">
        <f>""</f>
        <v/>
      </c>
    </row>
    <row r="115" spans="1:13" ht="12" customHeight="1" x14ac:dyDescent="0.25">
      <c r="A115" s="10" t="s">
        <v>235</v>
      </c>
      <c r="B115" s="10" t="s">
        <v>236</v>
      </c>
      <c r="C115" s="10" t="str">
        <f>"30213000-5"</f>
        <v>30213000-5</v>
      </c>
      <c r="D115" s="11">
        <v>15200</v>
      </c>
      <c r="E115" s="10" t="s">
        <v>19</v>
      </c>
      <c r="F115" s="7"/>
      <c r="G115" s="12" t="s">
        <v>20</v>
      </c>
      <c r="H115" s="7"/>
      <c r="I115" s="7"/>
      <c r="J115" s="7"/>
      <c r="K115" s="12" t="s">
        <v>21</v>
      </c>
      <c r="L115" s="12" t="str">
        <f t="shared" si="2"/>
        <v/>
      </c>
      <c r="M115" s="10" t="str">
        <f>""</f>
        <v/>
      </c>
    </row>
    <row r="116" spans="1:13" ht="12" customHeight="1" x14ac:dyDescent="0.25">
      <c r="A116" s="10" t="s">
        <v>237</v>
      </c>
      <c r="B116" s="10" t="s">
        <v>238</v>
      </c>
      <c r="C116" s="10" t="str">
        <f>"30216000-6"</f>
        <v>30216000-6</v>
      </c>
      <c r="D116" s="11">
        <v>4900</v>
      </c>
      <c r="E116" s="10" t="s">
        <v>19</v>
      </c>
      <c r="F116" s="7"/>
      <c r="G116" s="12" t="s">
        <v>20</v>
      </c>
      <c r="H116" s="7"/>
      <c r="I116" s="7"/>
      <c r="J116" s="7"/>
      <c r="K116" s="12" t="s">
        <v>21</v>
      </c>
      <c r="L116" s="12" t="str">
        <f t="shared" si="2"/>
        <v/>
      </c>
      <c r="M116" s="10" t="str">
        <f>""</f>
        <v/>
      </c>
    </row>
    <row r="117" spans="1:13" ht="12" customHeight="1" x14ac:dyDescent="0.25">
      <c r="A117" s="10" t="s">
        <v>239</v>
      </c>
      <c r="B117" s="10" t="s">
        <v>240</v>
      </c>
      <c r="C117" s="10" t="str">
        <f>"30237000-9"</f>
        <v>30237000-9</v>
      </c>
      <c r="D117" s="11">
        <v>1900</v>
      </c>
      <c r="E117" s="10" t="s">
        <v>19</v>
      </c>
      <c r="F117" s="7"/>
      <c r="G117" s="12" t="s">
        <v>20</v>
      </c>
      <c r="H117" s="7"/>
      <c r="I117" s="7"/>
      <c r="J117" s="7"/>
      <c r="K117" s="12" t="s">
        <v>21</v>
      </c>
      <c r="L117" s="12" t="str">
        <f t="shared" si="2"/>
        <v/>
      </c>
      <c r="M117" s="10" t="str">
        <f>""</f>
        <v/>
      </c>
    </row>
    <row r="118" spans="1:13" ht="12" customHeight="1" x14ac:dyDescent="0.25">
      <c r="A118" s="10" t="s">
        <v>241</v>
      </c>
      <c r="B118" s="10" t="s">
        <v>242</v>
      </c>
      <c r="C118" s="10" t="str">
        <f>"39311000-5"</f>
        <v>39311000-5</v>
      </c>
      <c r="D118" s="11">
        <v>6500</v>
      </c>
      <c r="E118" s="10" t="s">
        <v>19</v>
      </c>
      <c r="F118" s="7"/>
      <c r="G118" s="12" t="s">
        <v>20</v>
      </c>
      <c r="H118" s="7"/>
      <c r="I118" s="7"/>
      <c r="J118" s="7"/>
      <c r="K118" s="12" t="s">
        <v>21</v>
      </c>
      <c r="L118" s="12" t="str">
        <f t="shared" si="2"/>
        <v/>
      </c>
      <c r="M118" s="10" t="str">
        <f>""</f>
        <v/>
      </c>
    </row>
    <row r="119" spans="1:13" ht="12" customHeight="1" x14ac:dyDescent="0.25">
      <c r="A119" s="10" t="s">
        <v>243</v>
      </c>
      <c r="B119" s="10" t="s">
        <v>244</v>
      </c>
      <c r="C119" s="10" t="str">
        <f>"34100000-8"</f>
        <v>34100000-8</v>
      </c>
      <c r="D119" s="11">
        <v>195000</v>
      </c>
      <c r="E119" s="10" t="s">
        <v>19</v>
      </c>
      <c r="F119" s="7"/>
      <c r="G119" s="12" t="s">
        <v>20</v>
      </c>
      <c r="H119" s="7"/>
      <c r="I119" s="7"/>
      <c r="J119" s="7"/>
      <c r="K119" s="12" t="s">
        <v>21</v>
      </c>
      <c r="L119" s="12" t="str">
        <f t="shared" si="2"/>
        <v/>
      </c>
      <c r="M119" s="10" t="str">
        <f>""</f>
        <v/>
      </c>
    </row>
    <row r="120" spans="1:13" ht="12" customHeight="1" x14ac:dyDescent="0.25">
      <c r="A120" s="10" t="s">
        <v>245</v>
      </c>
      <c r="B120" s="10" t="s">
        <v>246</v>
      </c>
      <c r="C120" s="10" t="str">
        <f>"64110000-0"</f>
        <v>64110000-0</v>
      </c>
      <c r="D120" s="11">
        <v>30000</v>
      </c>
      <c r="E120" s="10" t="s">
        <v>19</v>
      </c>
      <c r="F120" s="7"/>
      <c r="G120" s="12" t="s">
        <v>20</v>
      </c>
      <c r="H120" s="7"/>
      <c r="I120" s="7"/>
      <c r="J120" s="7"/>
      <c r="K120" s="12" t="s">
        <v>132</v>
      </c>
      <c r="L120" s="12" t="str">
        <f t="shared" si="2"/>
        <v/>
      </c>
      <c r="M120" s="10" t="str">
        <f>""</f>
        <v/>
      </c>
    </row>
    <row r="121" spans="1:13" ht="12" customHeight="1" x14ac:dyDescent="0.25">
      <c r="A121" s="10" t="s">
        <v>247</v>
      </c>
      <c r="B121" s="10" t="s">
        <v>248</v>
      </c>
      <c r="C121" s="10" t="str">
        <f>"64212000-5"</f>
        <v>64212000-5</v>
      </c>
      <c r="D121" s="11">
        <v>36000</v>
      </c>
      <c r="E121" s="10" t="s">
        <v>19</v>
      </c>
      <c r="F121" s="7"/>
      <c r="G121" s="12" t="s">
        <v>20</v>
      </c>
      <c r="H121" s="7"/>
      <c r="I121" s="7"/>
      <c r="J121" s="7"/>
      <c r="K121" s="12" t="s">
        <v>132</v>
      </c>
      <c r="L121" s="12" t="str">
        <f t="shared" si="2"/>
        <v/>
      </c>
      <c r="M121" s="10" t="str">
        <f>""</f>
        <v/>
      </c>
    </row>
    <row r="122" spans="1:13" ht="12" customHeight="1" x14ac:dyDescent="0.25">
      <c r="A122" s="10" t="s">
        <v>249</v>
      </c>
      <c r="B122" s="10" t="s">
        <v>250</v>
      </c>
      <c r="C122" s="10" t="str">
        <f>"45111290-7"</f>
        <v>45111290-7</v>
      </c>
      <c r="D122" s="11">
        <v>91000</v>
      </c>
      <c r="E122" s="10" t="s">
        <v>19</v>
      </c>
      <c r="F122" s="7"/>
      <c r="G122" s="12" t="s">
        <v>20</v>
      </c>
      <c r="H122" s="7"/>
      <c r="I122" s="7"/>
      <c r="J122" s="7"/>
      <c r="K122" s="12" t="s">
        <v>251</v>
      </c>
      <c r="L122" s="12" t="str">
        <f t="shared" si="2"/>
        <v/>
      </c>
      <c r="M122" s="10" t="str">
        <f>""</f>
        <v/>
      </c>
    </row>
    <row r="123" spans="1:13" ht="12" customHeight="1" x14ac:dyDescent="0.25">
      <c r="A123" s="10" t="s">
        <v>252</v>
      </c>
      <c r="B123" s="10" t="s">
        <v>253</v>
      </c>
      <c r="C123" s="10" t="str">
        <f>"45314000-1"</f>
        <v>45314000-1</v>
      </c>
      <c r="D123" s="11">
        <v>140000</v>
      </c>
      <c r="E123" s="10" t="s">
        <v>19</v>
      </c>
      <c r="F123" s="7"/>
      <c r="G123" s="12" t="s">
        <v>20</v>
      </c>
      <c r="H123" s="7"/>
      <c r="I123" s="7"/>
      <c r="J123" s="7"/>
      <c r="K123" s="12" t="s">
        <v>251</v>
      </c>
      <c r="L123" s="12" t="str">
        <f t="shared" si="2"/>
        <v/>
      </c>
      <c r="M123" s="10" t="str">
        <f>""</f>
        <v/>
      </c>
    </row>
    <row r="124" spans="1:13" ht="12" customHeight="1" x14ac:dyDescent="0.25">
      <c r="A124" s="10" t="s">
        <v>254</v>
      </c>
      <c r="B124" s="10" t="s">
        <v>255</v>
      </c>
      <c r="C124" s="10" t="str">
        <f>"45421000-4"</f>
        <v>45421000-4</v>
      </c>
      <c r="D124" s="11">
        <v>40000</v>
      </c>
      <c r="E124" s="10" t="s">
        <v>19</v>
      </c>
      <c r="F124" s="7"/>
      <c r="G124" s="12" t="s">
        <v>20</v>
      </c>
      <c r="H124" s="7"/>
      <c r="I124" s="7"/>
      <c r="J124" s="7"/>
      <c r="K124" s="12" t="s">
        <v>251</v>
      </c>
      <c r="L124" s="12" t="str">
        <f t="shared" si="2"/>
        <v/>
      </c>
      <c r="M124" s="10" t="str">
        <f>""</f>
        <v/>
      </c>
    </row>
    <row r="125" spans="1:13" ht="12" customHeight="1" x14ac:dyDescent="0.25">
      <c r="A125" s="10" t="s">
        <v>256</v>
      </c>
      <c r="B125" s="10" t="s">
        <v>257</v>
      </c>
      <c r="C125" s="10" t="str">
        <f>"45442100-8"</f>
        <v>45442100-8</v>
      </c>
      <c r="D125" s="11">
        <v>16000</v>
      </c>
      <c r="E125" s="10" t="s">
        <v>19</v>
      </c>
      <c r="F125" s="7"/>
      <c r="G125" s="12" t="s">
        <v>20</v>
      </c>
      <c r="H125" s="7"/>
      <c r="I125" s="7"/>
      <c r="J125" s="7"/>
      <c r="K125" s="12" t="s">
        <v>251</v>
      </c>
      <c r="L125" s="12" t="str">
        <f t="shared" si="2"/>
        <v/>
      </c>
      <c r="M125" s="10" t="str">
        <f>""</f>
        <v/>
      </c>
    </row>
    <row r="126" spans="1:13" ht="12" customHeight="1" x14ac:dyDescent="0.25">
      <c r="A126" s="10" t="s">
        <v>258</v>
      </c>
      <c r="B126" s="10" t="s">
        <v>259</v>
      </c>
      <c r="C126" s="10" t="str">
        <f>"51310000-8"</f>
        <v>51310000-8</v>
      </c>
      <c r="D126" s="11">
        <v>15000</v>
      </c>
      <c r="E126" s="10" t="s">
        <v>19</v>
      </c>
      <c r="F126" s="7"/>
      <c r="G126" s="12" t="s">
        <v>20</v>
      </c>
      <c r="H126" s="7"/>
      <c r="I126" s="7"/>
      <c r="J126" s="7"/>
      <c r="K126" s="12" t="s">
        <v>132</v>
      </c>
      <c r="L126" s="12" t="str">
        <f t="shared" si="2"/>
        <v/>
      </c>
      <c r="M126" s="10" t="str">
        <f>""</f>
        <v/>
      </c>
    </row>
    <row r="127" spans="1:13" ht="12" customHeight="1" x14ac:dyDescent="0.25">
      <c r="A127" s="10" t="s">
        <v>260</v>
      </c>
      <c r="B127" s="10" t="s">
        <v>261</v>
      </c>
      <c r="C127" s="10" t="str">
        <f>"79932000-6"</f>
        <v>79932000-6</v>
      </c>
      <c r="D127" s="11">
        <v>199000</v>
      </c>
      <c r="E127" s="10" t="s">
        <v>19</v>
      </c>
      <c r="F127" s="7"/>
      <c r="G127" s="12" t="s">
        <v>20</v>
      </c>
      <c r="H127" s="7"/>
      <c r="I127" s="7"/>
      <c r="J127" s="7"/>
      <c r="K127" s="12" t="s">
        <v>132</v>
      </c>
      <c r="L127" s="12" t="str">
        <f t="shared" si="2"/>
        <v/>
      </c>
      <c r="M127" s="10" t="str">
        <f>""</f>
        <v/>
      </c>
    </row>
    <row r="128" spans="1:13" ht="12" customHeight="1" x14ac:dyDescent="0.25">
      <c r="A128" s="10" t="s">
        <v>262</v>
      </c>
      <c r="B128" s="10" t="s">
        <v>263</v>
      </c>
      <c r="C128" s="10" t="str">
        <f>"30121100-4"</f>
        <v>30121100-4</v>
      </c>
      <c r="D128" s="11">
        <v>70000</v>
      </c>
      <c r="E128" s="10" t="s">
        <v>19</v>
      </c>
      <c r="F128" s="7"/>
      <c r="G128" s="12" t="s">
        <v>20</v>
      </c>
      <c r="H128" s="7"/>
      <c r="I128" s="7"/>
      <c r="J128" s="7"/>
      <c r="K128" s="12" t="s">
        <v>21</v>
      </c>
      <c r="L128" s="12" t="str">
        <f t="shared" si="2"/>
        <v/>
      </c>
      <c r="M128" s="10" t="str">
        <f>""</f>
        <v/>
      </c>
    </row>
    <row r="129" spans="1:13" ht="12" customHeight="1" x14ac:dyDescent="0.25">
      <c r="A129" s="10" t="s">
        <v>264</v>
      </c>
      <c r="B129" s="10" t="s">
        <v>265</v>
      </c>
      <c r="C129" s="10" t="str">
        <f>"32300000-6"</f>
        <v>32300000-6</v>
      </c>
      <c r="D129" s="11">
        <v>162750</v>
      </c>
      <c r="E129" s="10" t="s">
        <v>19</v>
      </c>
      <c r="F129" s="7"/>
      <c r="G129" s="12" t="s">
        <v>20</v>
      </c>
      <c r="H129" s="7"/>
      <c r="I129" s="7"/>
      <c r="J129" s="7"/>
      <c r="K129" s="12" t="s">
        <v>21</v>
      </c>
      <c r="L129" s="12" t="str">
        <f t="shared" si="2"/>
        <v/>
      </c>
      <c r="M129" s="10" t="str">
        <f>""</f>
        <v/>
      </c>
    </row>
    <row r="130" spans="1:13" ht="12" customHeight="1" x14ac:dyDescent="0.25">
      <c r="A130" s="10" t="s">
        <v>266</v>
      </c>
      <c r="B130" s="10" t="s">
        <v>267</v>
      </c>
      <c r="C130" s="10" t="str">
        <f>"32570000-9"</f>
        <v>32570000-9</v>
      </c>
      <c r="D130" s="11">
        <v>2300</v>
      </c>
      <c r="E130" s="10" t="s">
        <v>19</v>
      </c>
      <c r="F130" s="7"/>
      <c r="G130" s="12" t="s">
        <v>20</v>
      </c>
      <c r="H130" s="7"/>
      <c r="I130" s="7"/>
      <c r="J130" s="7"/>
      <c r="K130" s="12" t="s">
        <v>21</v>
      </c>
      <c r="L130" s="12" t="str">
        <f t="shared" si="2"/>
        <v/>
      </c>
      <c r="M130" s="10" t="str">
        <f>""</f>
        <v/>
      </c>
    </row>
    <row r="131" spans="1:13" ht="12" customHeight="1" x14ac:dyDescent="0.25">
      <c r="A131" s="10" t="s">
        <v>268</v>
      </c>
      <c r="B131" s="10" t="s">
        <v>269</v>
      </c>
      <c r="C131" s="10" t="str">
        <f>"39154000-6"</f>
        <v>39154000-6</v>
      </c>
      <c r="D131" s="11">
        <v>28830</v>
      </c>
      <c r="E131" s="10" t="s">
        <v>19</v>
      </c>
      <c r="F131" s="7"/>
      <c r="G131" s="12" t="s">
        <v>20</v>
      </c>
      <c r="H131" s="7"/>
      <c r="I131" s="7"/>
      <c r="J131" s="7"/>
      <c r="K131" s="12" t="s">
        <v>21</v>
      </c>
      <c r="L131" s="12" t="str">
        <f t="shared" si="2"/>
        <v/>
      </c>
      <c r="M131" s="10" t="str">
        <f>""</f>
        <v/>
      </c>
    </row>
    <row r="132" spans="1:13" ht="12" customHeight="1" x14ac:dyDescent="0.25">
      <c r="A132" s="10" t="s">
        <v>270</v>
      </c>
      <c r="B132" s="10" t="s">
        <v>271</v>
      </c>
      <c r="C132" s="10" t="str">
        <f>"34928200-0"</f>
        <v>34928200-0</v>
      </c>
      <c r="D132" s="11">
        <v>19200</v>
      </c>
      <c r="E132" s="10" t="s">
        <v>19</v>
      </c>
      <c r="F132" s="7"/>
      <c r="G132" s="12" t="s">
        <v>20</v>
      </c>
      <c r="H132" s="7"/>
      <c r="I132" s="7"/>
      <c r="J132" s="7"/>
      <c r="K132" s="12" t="s">
        <v>21</v>
      </c>
      <c r="L132" s="12" t="str">
        <f t="shared" si="2"/>
        <v/>
      </c>
      <c r="M132" s="10" t="str">
        <f>""</f>
        <v/>
      </c>
    </row>
    <row r="133" spans="1:13" ht="12" customHeight="1" x14ac:dyDescent="0.25">
      <c r="A133" s="10" t="s">
        <v>272</v>
      </c>
      <c r="B133" s="10" t="s">
        <v>273</v>
      </c>
      <c r="C133" s="10" t="str">
        <f>"60171000-7"</f>
        <v>60171000-7</v>
      </c>
      <c r="D133" s="11">
        <v>59200</v>
      </c>
      <c r="E133" s="10" t="s">
        <v>19</v>
      </c>
      <c r="F133" s="7"/>
      <c r="G133" s="12" t="s">
        <v>20</v>
      </c>
      <c r="H133" s="7"/>
      <c r="I133" s="7"/>
      <c r="J133" s="7"/>
      <c r="K133" s="12" t="s">
        <v>132</v>
      </c>
      <c r="L133" s="12" t="str">
        <f t="shared" si="2"/>
        <v/>
      </c>
      <c r="M133" s="10" t="str">
        <f>""</f>
        <v/>
      </c>
    </row>
    <row r="134" spans="1:13" ht="12" customHeight="1" x14ac:dyDescent="0.25">
      <c r="A134" s="10" t="s">
        <v>274</v>
      </c>
      <c r="B134" s="10" t="s">
        <v>275</v>
      </c>
      <c r="C134" s="10" t="str">
        <f>"79956000-0"</f>
        <v>79956000-0</v>
      </c>
      <c r="D134" s="11">
        <v>69500</v>
      </c>
      <c r="E134" s="10" t="s">
        <v>19</v>
      </c>
      <c r="F134" s="7"/>
      <c r="G134" s="12" t="s">
        <v>20</v>
      </c>
      <c r="H134" s="7"/>
      <c r="I134" s="7"/>
      <c r="J134" s="7"/>
      <c r="K134" s="12" t="s">
        <v>132</v>
      </c>
      <c r="L134" s="12" t="str">
        <f t="shared" si="2"/>
        <v/>
      </c>
      <c r="M134" s="10" t="str">
        <f>""</f>
        <v/>
      </c>
    </row>
    <row r="135" spans="1:13" ht="12" customHeight="1" x14ac:dyDescent="0.25">
      <c r="A135" s="10" t="s">
        <v>276</v>
      </c>
      <c r="B135" s="10" t="s">
        <v>277</v>
      </c>
      <c r="C135" s="10" t="str">
        <f>"79950000-8"</f>
        <v>79950000-8</v>
      </c>
      <c r="D135" s="11">
        <v>158000</v>
      </c>
      <c r="E135" s="10" t="s">
        <v>19</v>
      </c>
      <c r="F135" s="7"/>
      <c r="G135" s="12" t="s">
        <v>20</v>
      </c>
      <c r="H135" s="7"/>
      <c r="I135" s="7"/>
      <c r="J135" s="7"/>
      <c r="K135" s="12" t="s">
        <v>132</v>
      </c>
      <c r="L135" s="12" t="str">
        <f t="shared" si="2"/>
        <v/>
      </c>
      <c r="M135" s="10" t="str">
        <f>""</f>
        <v/>
      </c>
    </row>
    <row r="136" spans="1:13" ht="12" customHeight="1" x14ac:dyDescent="0.25">
      <c r="A136" s="10" t="s">
        <v>278</v>
      </c>
      <c r="B136" s="10" t="s">
        <v>279</v>
      </c>
      <c r="C136" s="10" t="str">
        <f>"79620000-6"</f>
        <v>79620000-6</v>
      </c>
      <c r="D136" s="11">
        <v>100000</v>
      </c>
      <c r="E136" s="10" t="s">
        <v>19</v>
      </c>
      <c r="F136" s="7"/>
      <c r="G136" s="12" t="s">
        <v>20</v>
      </c>
      <c r="H136" s="7"/>
      <c r="I136" s="7"/>
      <c r="J136" s="7"/>
      <c r="K136" s="12" t="s">
        <v>132</v>
      </c>
      <c r="L136" s="12" t="str">
        <f t="shared" ref="L136:L199" si="3">CONCATENATE("")</f>
        <v/>
      </c>
      <c r="M136" s="10" t="str">
        <f>""</f>
        <v/>
      </c>
    </row>
    <row r="137" spans="1:13" ht="12" customHeight="1" x14ac:dyDescent="0.25">
      <c r="A137" s="10" t="s">
        <v>280</v>
      </c>
      <c r="B137" s="10" t="s">
        <v>281</v>
      </c>
      <c r="C137" s="10" t="str">
        <f>"79411100-9"</f>
        <v>79411100-9</v>
      </c>
      <c r="D137" s="11">
        <v>5000</v>
      </c>
      <c r="E137" s="10" t="s">
        <v>19</v>
      </c>
      <c r="F137" s="7"/>
      <c r="G137" s="12" t="s">
        <v>20</v>
      </c>
      <c r="H137" s="7"/>
      <c r="I137" s="7"/>
      <c r="J137" s="7"/>
      <c r="K137" s="12" t="s">
        <v>132</v>
      </c>
      <c r="L137" s="12" t="str">
        <f t="shared" si="3"/>
        <v/>
      </c>
      <c r="M137" s="10" t="str">
        <f>""</f>
        <v/>
      </c>
    </row>
    <row r="138" spans="1:13" ht="12" customHeight="1" x14ac:dyDescent="0.25">
      <c r="A138" s="10" t="s">
        <v>282</v>
      </c>
      <c r="B138" s="10" t="s">
        <v>283</v>
      </c>
      <c r="C138" s="10" t="str">
        <f>"92310000-7"</f>
        <v>92310000-7</v>
      </c>
      <c r="D138" s="11">
        <v>49500</v>
      </c>
      <c r="E138" s="10" t="s">
        <v>19</v>
      </c>
      <c r="F138" s="7"/>
      <c r="G138" s="12" t="s">
        <v>20</v>
      </c>
      <c r="H138" s="7"/>
      <c r="I138" s="7"/>
      <c r="J138" s="7"/>
      <c r="K138" s="12" t="s">
        <v>132</v>
      </c>
      <c r="L138" s="12" t="str">
        <f t="shared" si="3"/>
        <v/>
      </c>
      <c r="M138" s="10" t="str">
        <f>""</f>
        <v/>
      </c>
    </row>
    <row r="139" spans="1:13" ht="12" customHeight="1" x14ac:dyDescent="0.25">
      <c r="A139" s="10" t="s">
        <v>284</v>
      </c>
      <c r="B139" s="10" t="s">
        <v>285</v>
      </c>
      <c r="C139" s="10" t="str">
        <f>"79221000-9"</f>
        <v>79221000-9</v>
      </c>
      <c r="D139" s="11">
        <v>2000</v>
      </c>
      <c r="E139" s="10" t="s">
        <v>19</v>
      </c>
      <c r="F139" s="7"/>
      <c r="G139" s="12" t="s">
        <v>20</v>
      </c>
      <c r="H139" s="7"/>
      <c r="I139" s="7"/>
      <c r="J139" s="7"/>
      <c r="K139" s="12" t="s">
        <v>132</v>
      </c>
      <c r="L139" s="12" t="str">
        <f t="shared" si="3"/>
        <v/>
      </c>
      <c r="M139" s="10" t="str">
        <f>""</f>
        <v/>
      </c>
    </row>
    <row r="140" spans="1:13" ht="12" customHeight="1" x14ac:dyDescent="0.25">
      <c r="A140" s="10" t="s">
        <v>286</v>
      </c>
      <c r="B140" s="10" t="s">
        <v>287</v>
      </c>
      <c r="C140" s="10" t="str">
        <f>"03121200-7"</f>
        <v>03121200-7</v>
      </c>
      <c r="D140" s="11">
        <v>12200</v>
      </c>
      <c r="E140" s="10" t="s">
        <v>19</v>
      </c>
      <c r="F140" s="7"/>
      <c r="G140" s="12" t="s">
        <v>20</v>
      </c>
      <c r="H140" s="7"/>
      <c r="I140" s="7"/>
      <c r="J140" s="7"/>
      <c r="K140" s="12" t="s">
        <v>21</v>
      </c>
      <c r="L140" s="12" t="str">
        <f t="shared" si="3"/>
        <v/>
      </c>
      <c r="M140" s="10" t="str">
        <f>""</f>
        <v/>
      </c>
    </row>
    <row r="141" spans="1:13" ht="12" customHeight="1" x14ac:dyDescent="0.25">
      <c r="A141" s="10" t="s">
        <v>288</v>
      </c>
      <c r="B141" s="10" t="s">
        <v>289</v>
      </c>
      <c r="C141" s="10" t="str">
        <f>"79952000-2"</f>
        <v>79952000-2</v>
      </c>
      <c r="D141" s="11">
        <v>38500</v>
      </c>
      <c r="E141" s="10" t="s">
        <v>19</v>
      </c>
      <c r="F141" s="7"/>
      <c r="G141" s="12" t="s">
        <v>20</v>
      </c>
      <c r="H141" s="7"/>
      <c r="I141" s="7"/>
      <c r="J141" s="7"/>
      <c r="K141" s="12" t="s">
        <v>132</v>
      </c>
      <c r="L141" s="12" t="str">
        <f t="shared" si="3"/>
        <v/>
      </c>
      <c r="M141" s="10" t="str">
        <f>""</f>
        <v/>
      </c>
    </row>
    <row r="142" spans="1:13" ht="12" customHeight="1" x14ac:dyDescent="0.25">
      <c r="A142" s="10" t="s">
        <v>290</v>
      </c>
      <c r="B142" s="10" t="s">
        <v>291</v>
      </c>
      <c r="C142" s="10" t="str">
        <f>"80550000-4"</f>
        <v>80550000-4</v>
      </c>
      <c r="D142" s="11">
        <v>3000</v>
      </c>
      <c r="E142" s="10" t="s">
        <v>19</v>
      </c>
      <c r="F142" s="7"/>
      <c r="G142" s="12" t="s">
        <v>20</v>
      </c>
      <c r="H142" s="7"/>
      <c r="I142" s="7"/>
      <c r="J142" s="7"/>
      <c r="K142" s="12" t="s">
        <v>132</v>
      </c>
      <c r="L142" s="12" t="str">
        <f t="shared" si="3"/>
        <v/>
      </c>
      <c r="M142" s="10" t="str">
        <f>""</f>
        <v/>
      </c>
    </row>
    <row r="143" spans="1:13" ht="12" customHeight="1" x14ac:dyDescent="0.25">
      <c r="A143" s="10" t="s">
        <v>292</v>
      </c>
      <c r="B143" s="10" t="s">
        <v>293</v>
      </c>
      <c r="C143" s="10" t="str">
        <f>"80533000-9"</f>
        <v>80533000-9</v>
      </c>
      <c r="D143" s="11">
        <v>7500</v>
      </c>
      <c r="E143" s="10" t="s">
        <v>19</v>
      </c>
      <c r="F143" s="7"/>
      <c r="G143" s="12" t="s">
        <v>20</v>
      </c>
      <c r="H143" s="7"/>
      <c r="I143" s="7"/>
      <c r="J143" s="7"/>
      <c r="K143" s="12" t="s">
        <v>132</v>
      </c>
      <c r="L143" s="12" t="str">
        <f t="shared" si="3"/>
        <v/>
      </c>
      <c r="M143" s="10" t="str">
        <f>""</f>
        <v/>
      </c>
    </row>
    <row r="144" spans="1:13" ht="12" customHeight="1" x14ac:dyDescent="0.25">
      <c r="A144" s="10" t="s">
        <v>294</v>
      </c>
      <c r="B144" s="10" t="s">
        <v>295</v>
      </c>
      <c r="C144" s="10" t="str">
        <f>"80530000-8"</f>
        <v>80530000-8</v>
      </c>
      <c r="D144" s="11">
        <v>13000</v>
      </c>
      <c r="E144" s="10" t="s">
        <v>19</v>
      </c>
      <c r="F144" s="7"/>
      <c r="G144" s="12" t="s">
        <v>20</v>
      </c>
      <c r="H144" s="7"/>
      <c r="I144" s="7"/>
      <c r="J144" s="7"/>
      <c r="K144" s="12" t="s">
        <v>132</v>
      </c>
      <c r="L144" s="12" t="str">
        <f t="shared" si="3"/>
        <v/>
      </c>
      <c r="M144" s="10" t="str">
        <f>""</f>
        <v/>
      </c>
    </row>
    <row r="145" spans="1:13" ht="12" customHeight="1" x14ac:dyDescent="0.25">
      <c r="A145" s="10" t="s">
        <v>296</v>
      </c>
      <c r="B145" s="10" t="s">
        <v>297</v>
      </c>
      <c r="C145" s="10" t="str">
        <f>"80531000-5"</f>
        <v>80531000-5</v>
      </c>
      <c r="D145" s="11">
        <v>5300</v>
      </c>
      <c r="E145" s="10" t="s">
        <v>19</v>
      </c>
      <c r="F145" s="7"/>
      <c r="G145" s="12" t="s">
        <v>20</v>
      </c>
      <c r="H145" s="7"/>
      <c r="I145" s="7"/>
      <c r="J145" s="7"/>
      <c r="K145" s="12" t="s">
        <v>132</v>
      </c>
      <c r="L145" s="12" t="str">
        <f t="shared" si="3"/>
        <v/>
      </c>
      <c r="M145" s="10" t="str">
        <f>""</f>
        <v/>
      </c>
    </row>
    <row r="146" spans="1:13" ht="12" customHeight="1" x14ac:dyDescent="0.25">
      <c r="A146" s="10" t="s">
        <v>298</v>
      </c>
      <c r="B146" s="10" t="s">
        <v>299</v>
      </c>
      <c r="C146" s="10" t="str">
        <f>"80620000-6"</f>
        <v>80620000-6</v>
      </c>
      <c r="D146" s="11">
        <v>1200</v>
      </c>
      <c r="E146" s="10" t="s">
        <v>19</v>
      </c>
      <c r="F146" s="7"/>
      <c r="G146" s="12" t="s">
        <v>20</v>
      </c>
      <c r="H146" s="7"/>
      <c r="I146" s="7"/>
      <c r="J146" s="7"/>
      <c r="K146" s="12" t="s">
        <v>132</v>
      </c>
      <c r="L146" s="12" t="str">
        <f t="shared" si="3"/>
        <v/>
      </c>
      <c r="M146" s="10" t="str">
        <f>""</f>
        <v/>
      </c>
    </row>
    <row r="147" spans="1:13" ht="12" customHeight="1" x14ac:dyDescent="0.25">
      <c r="A147" s="10" t="s">
        <v>300</v>
      </c>
      <c r="B147" s="10" t="s">
        <v>301</v>
      </c>
      <c r="C147" s="10" t="str">
        <f>"80562000-1"</f>
        <v>80562000-1</v>
      </c>
      <c r="D147" s="11">
        <v>3000</v>
      </c>
      <c r="E147" s="10" t="s">
        <v>19</v>
      </c>
      <c r="F147" s="7"/>
      <c r="G147" s="12" t="s">
        <v>20</v>
      </c>
      <c r="H147" s="7"/>
      <c r="I147" s="7"/>
      <c r="J147" s="7"/>
      <c r="K147" s="12" t="s">
        <v>132</v>
      </c>
      <c r="L147" s="12" t="str">
        <f t="shared" si="3"/>
        <v/>
      </c>
      <c r="M147" s="10" t="str">
        <f>""</f>
        <v/>
      </c>
    </row>
    <row r="148" spans="1:13" ht="12" customHeight="1" x14ac:dyDescent="0.25">
      <c r="A148" s="10" t="s">
        <v>302</v>
      </c>
      <c r="B148" s="10" t="s">
        <v>303</v>
      </c>
      <c r="C148" s="10" t="str">
        <f>"55300000-3"</f>
        <v>55300000-3</v>
      </c>
      <c r="D148" s="11">
        <v>122000</v>
      </c>
      <c r="E148" s="10" t="s">
        <v>19</v>
      </c>
      <c r="F148" s="7"/>
      <c r="G148" s="12" t="s">
        <v>20</v>
      </c>
      <c r="H148" s="7"/>
      <c r="I148" s="7"/>
      <c r="J148" s="7"/>
      <c r="K148" s="12" t="s">
        <v>132</v>
      </c>
      <c r="L148" s="12" t="str">
        <f t="shared" si="3"/>
        <v/>
      </c>
      <c r="M148" s="10" t="str">
        <f>""</f>
        <v/>
      </c>
    </row>
    <row r="149" spans="1:13" ht="12" customHeight="1" x14ac:dyDescent="0.25">
      <c r="A149" s="10" t="s">
        <v>304</v>
      </c>
      <c r="B149" s="10" t="s">
        <v>305</v>
      </c>
      <c r="C149" s="10" t="str">
        <f>"22200000-2"</f>
        <v>22200000-2</v>
      </c>
      <c r="D149" s="11">
        <v>21000</v>
      </c>
      <c r="E149" s="10" t="s">
        <v>19</v>
      </c>
      <c r="F149" s="7"/>
      <c r="G149" s="12" t="s">
        <v>20</v>
      </c>
      <c r="H149" s="7"/>
      <c r="I149" s="7"/>
      <c r="J149" s="7"/>
      <c r="K149" s="12" t="s">
        <v>21</v>
      </c>
      <c r="L149" s="12" t="str">
        <f t="shared" si="3"/>
        <v/>
      </c>
      <c r="M149" s="10" t="str">
        <f>""</f>
        <v/>
      </c>
    </row>
    <row r="150" spans="1:13" ht="12" customHeight="1" x14ac:dyDescent="0.25">
      <c r="A150" s="10" t="s">
        <v>306</v>
      </c>
      <c r="B150" s="10" t="s">
        <v>307</v>
      </c>
      <c r="C150" s="10" t="str">
        <f>"22100000-1"</f>
        <v>22100000-1</v>
      </c>
      <c r="D150" s="11">
        <v>11500</v>
      </c>
      <c r="E150" s="10" t="s">
        <v>19</v>
      </c>
      <c r="F150" s="7"/>
      <c r="G150" s="12" t="s">
        <v>20</v>
      </c>
      <c r="H150" s="7"/>
      <c r="I150" s="7"/>
      <c r="J150" s="7"/>
      <c r="K150" s="12" t="s">
        <v>21</v>
      </c>
      <c r="L150" s="12" t="str">
        <f t="shared" si="3"/>
        <v/>
      </c>
      <c r="M150" s="10" t="str">
        <f>""</f>
        <v/>
      </c>
    </row>
    <row r="151" spans="1:13" ht="12" customHeight="1" x14ac:dyDescent="0.25">
      <c r="A151" s="10" t="s">
        <v>308</v>
      </c>
      <c r="B151" s="10" t="s">
        <v>309</v>
      </c>
      <c r="C151" s="10" t="str">
        <f>"79300000-7"</f>
        <v>79300000-7</v>
      </c>
      <c r="D151" s="11">
        <v>8000</v>
      </c>
      <c r="E151" s="10" t="s">
        <v>19</v>
      </c>
      <c r="F151" s="7"/>
      <c r="G151" s="12" t="s">
        <v>20</v>
      </c>
      <c r="H151" s="7"/>
      <c r="I151" s="7"/>
      <c r="J151" s="7"/>
      <c r="K151" s="12" t="s">
        <v>132</v>
      </c>
      <c r="L151" s="12" t="str">
        <f t="shared" si="3"/>
        <v/>
      </c>
      <c r="M151" s="10" t="str">
        <f>""</f>
        <v/>
      </c>
    </row>
    <row r="152" spans="1:13" ht="12" customHeight="1" x14ac:dyDescent="0.25">
      <c r="A152" s="10" t="s">
        <v>310</v>
      </c>
      <c r="B152" s="10" t="s">
        <v>311</v>
      </c>
      <c r="C152" s="10" t="str">
        <f>"48611000-4"</f>
        <v>48611000-4</v>
      </c>
      <c r="D152" s="11">
        <v>5000</v>
      </c>
      <c r="E152" s="10" t="s">
        <v>19</v>
      </c>
      <c r="F152" s="7"/>
      <c r="G152" s="12" t="s">
        <v>20</v>
      </c>
      <c r="H152" s="7"/>
      <c r="I152" s="7"/>
      <c r="J152" s="7"/>
      <c r="K152" s="12" t="s">
        <v>21</v>
      </c>
      <c r="L152" s="12" t="str">
        <f t="shared" si="3"/>
        <v/>
      </c>
      <c r="M152" s="10" t="str">
        <f>""</f>
        <v/>
      </c>
    </row>
    <row r="153" spans="1:13" ht="12" customHeight="1" x14ac:dyDescent="0.25">
      <c r="A153" s="10" t="s">
        <v>312</v>
      </c>
      <c r="B153" s="10" t="s">
        <v>313</v>
      </c>
      <c r="C153" s="10" t="str">
        <f>"03121000-5"</f>
        <v>03121000-5</v>
      </c>
      <c r="D153" s="11">
        <v>7100</v>
      </c>
      <c r="E153" s="10" t="s">
        <v>19</v>
      </c>
      <c r="F153" s="7"/>
      <c r="G153" s="12" t="s">
        <v>20</v>
      </c>
      <c r="H153" s="7"/>
      <c r="I153" s="7"/>
      <c r="J153" s="7"/>
      <c r="K153" s="12" t="s">
        <v>21</v>
      </c>
      <c r="L153" s="12" t="str">
        <f t="shared" si="3"/>
        <v/>
      </c>
      <c r="M153" s="10" t="str">
        <f>""</f>
        <v/>
      </c>
    </row>
    <row r="154" spans="1:13" ht="12" customHeight="1" x14ac:dyDescent="0.25">
      <c r="A154" s="10" t="s">
        <v>314</v>
      </c>
      <c r="B154" s="10" t="s">
        <v>315</v>
      </c>
      <c r="C154" s="10" t="str">
        <f>"14820000-5"</f>
        <v>14820000-5</v>
      </c>
      <c r="D154" s="11">
        <v>169000</v>
      </c>
      <c r="E154" s="10" t="s">
        <v>19</v>
      </c>
      <c r="F154" s="7"/>
      <c r="G154" s="12" t="s">
        <v>20</v>
      </c>
      <c r="H154" s="7"/>
      <c r="I154" s="7"/>
      <c r="J154" s="7"/>
      <c r="K154" s="12" t="s">
        <v>21</v>
      </c>
      <c r="L154" s="12" t="str">
        <f t="shared" si="3"/>
        <v/>
      </c>
      <c r="M154" s="10" t="str">
        <f>""</f>
        <v/>
      </c>
    </row>
    <row r="155" spans="1:13" ht="12" customHeight="1" x14ac:dyDescent="0.25">
      <c r="A155" s="10" t="s">
        <v>316</v>
      </c>
      <c r="B155" s="10" t="s">
        <v>317</v>
      </c>
      <c r="C155" s="10" t="str">
        <f>"44221200-7"</f>
        <v>44221200-7</v>
      </c>
      <c r="D155" s="11">
        <v>50000</v>
      </c>
      <c r="E155" s="10" t="s">
        <v>19</v>
      </c>
      <c r="F155" s="7"/>
      <c r="G155" s="12" t="s">
        <v>20</v>
      </c>
      <c r="H155" s="7"/>
      <c r="I155" s="7"/>
      <c r="J155" s="7"/>
      <c r="K155" s="12" t="s">
        <v>21</v>
      </c>
      <c r="L155" s="12" t="str">
        <f t="shared" si="3"/>
        <v/>
      </c>
      <c r="M155" s="10" t="str">
        <f>""</f>
        <v/>
      </c>
    </row>
    <row r="156" spans="1:13" ht="12" customHeight="1" x14ac:dyDescent="0.25">
      <c r="A156" s="10" t="s">
        <v>318</v>
      </c>
      <c r="B156" s="10" t="s">
        <v>319</v>
      </c>
      <c r="C156" s="10" t="str">
        <f>"34992200-9"</f>
        <v>34992200-9</v>
      </c>
      <c r="D156" s="11">
        <v>5000</v>
      </c>
      <c r="E156" s="10" t="s">
        <v>19</v>
      </c>
      <c r="F156" s="7"/>
      <c r="G156" s="12" t="s">
        <v>20</v>
      </c>
      <c r="H156" s="7"/>
      <c r="I156" s="7"/>
      <c r="J156" s="7"/>
      <c r="K156" s="12" t="s">
        <v>21</v>
      </c>
      <c r="L156" s="12" t="str">
        <f t="shared" si="3"/>
        <v/>
      </c>
      <c r="M156" s="10" t="str">
        <f>""</f>
        <v/>
      </c>
    </row>
    <row r="157" spans="1:13" ht="12" customHeight="1" x14ac:dyDescent="0.25">
      <c r="A157" s="10" t="s">
        <v>320</v>
      </c>
      <c r="B157" s="10" t="s">
        <v>321</v>
      </c>
      <c r="C157" s="10" t="str">
        <f>"50530000-9"</f>
        <v>50530000-9</v>
      </c>
      <c r="D157" s="11">
        <v>10000</v>
      </c>
      <c r="E157" s="10" t="s">
        <v>19</v>
      </c>
      <c r="F157" s="7"/>
      <c r="G157" s="12" t="s">
        <v>20</v>
      </c>
      <c r="H157" s="7"/>
      <c r="I157" s="7"/>
      <c r="J157" s="7"/>
      <c r="K157" s="12" t="s">
        <v>132</v>
      </c>
      <c r="L157" s="12" t="str">
        <f t="shared" si="3"/>
        <v/>
      </c>
      <c r="M157" s="10" t="str">
        <f>""</f>
        <v/>
      </c>
    </row>
    <row r="158" spans="1:13" ht="12" customHeight="1" x14ac:dyDescent="0.25">
      <c r="A158" s="10" t="s">
        <v>322</v>
      </c>
      <c r="B158" s="10" t="s">
        <v>323</v>
      </c>
      <c r="C158" s="10" t="str">
        <f>"42419000-6"</f>
        <v>42419000-6</v>
      </c>
      <c r="D158" s="11">
        <v>10000</v>
      </c>
      <c r="E158" s="10" t="s">
        <v>19</v>
      </c>
      <c r="F158" s="7"/>
      <c r="G158" s="12" t="s">
        <v>20</v>
      </c>
      <c r="H158" s="7"/>
      <c r="I158" s="7"/>
      <c r="J158" s="7"/>
      <c r="K158" s="12" t="s">
        <v>21</v>
      </c>
      <c r="L158" s="12" t="str">
        <f t="shared" si="3"/>
        <v/>
      </c>
      <c r="M158" s="10" t="str">
        <f>""</f>
        <v/>
      </c>
    </row>
    <row r="159" spans="1:13" ht="12" customHeight="1" x14ac:dyDescent="0.25">
      <c r="A159" s="10" t="s">
        <v>324</v>
      </c>
      <c r="B159" s="10" t="s">
        <v>325</v>
      </c>
      <c r="C159" s="10" t="str">
        <f>"50530000-9"</f>
        <v>50530000-9</v>
      </c>
      <c r="D159" s="11">
        <v>60000</v>
      </c>
      <c r="E159" s="10" t="s">
        <v>19</v>
      </c>
      <c r="F159" s="7"/>
      <c r="G159" s="12" t="s">
        <v>20</v>
      </c>
      <c r="H159" s="7"/>
      <c r="I159" s="7"/>
      <c r="J159" s="7"/>
      <c r="K159" s="12" t="s">
        <v>132</v>
      </c>
      <c r="L159" s="12" t="str">
        <f t="shared" si="3"/>
        <v/>
      </c>
      <c r="M159" s="10" t="str">
        <f>""</f>
        <v/>
      </c>
    </row>
    <row r="160" spans="1:13" ht="12" customHeight="1" x14ac:dyDescent="0.25">
      <c r="A160" s="10" t="s">
        <v>326</v>
      </c>
      <c r="B160" s="10" t="s">
        <v>327</v>
      </c>
      <c r="C160" s="10" t="str">
        <f>"16810000-6"</f>
        <v>16810000-6</v>
      </c>
      <c r="D160" s="11">
        <v>20000</v>
      </c>
      <c r="E160" s="10" t="s">
        <v>19</v>
      </c>
      <c r="F160" s="7"/>
      <c r="G160" s="12" t="s">
        <v>20</v>
      </c>
      <c r="H160" s="7"/>
      <c r="I160" s="7"/>
      <c r="J160" s="7"/>
      <c r="K160" s="12" t="s">
        <v>21</v>
      </c>
      <c r="L160" s="12" t="str">
        <f t="shared" si="3"/>
        <v/>
      </c>
      <c r="M160" s="10" t="str">
        <f>""</f>
        <v/>
      </c>
    </row>
    <row r="161" spans="1:13" ht="12" customHeight="1" x14ac:dyDescent="0.25">
      <c r="A161" s="10" t="s">
        <v>328</v>
      </c>
      <c r="B161" s="10" t="s">
        <v>329</v>
      </c>
      <c r="C161" s="10" t="str">
        <f>"42662000-4"</f>
        <v>42662000-4</v>
      </c>
      <c r="D161" s="11">
        <v>5000</v>
      </c>
      <c r="E161" s="10" t="s">
        <v>19</v>
      </c>
      <c r="F161" s="7"/>
      <c r="G161" s="12" t="s">
        <v>20</v>
      </c>
      <c r="H161" s="7"/>
      <c r="I161" s="7"/>
      <c r="J161" s="7"/>
      <c r="K161" s="12" t="s">
        <v>21</v>
      </c>
      <c r="L161" s="12" t="str">
        <f t="shared" si="3"/>
        <v/>
      </c>
      <c r="M161" s="10" t="str">
        <f>""</f>
        <v/>
      </c>
    </row>
    <row r="162" spans="1:13" ht="12" customHeight="1" x14ac:dyDescent="0.25">
      <c r="A162" s="10" t="s">
        <v>330</v>
      </c>
      <c r="B162" s="10" t="s">
        <v>331</v>
      </c>
      <c r="C162" s="10" t="str">
        <f>"43830000-0"</f>
        <v>43830000-0</v>
      </c>
      <c r="D162" s="11">
        <v>8000</v>
      </c>
      <c r="E162" s="10" t="s">
        <v>19</v>
      </c>
      <c r="F162" s="7"/>
      <c r="G162" s="12" t="s">
        <v>20</v>
      </c>
      <c r="H162" s="7"/>
      <c r="I162" s="7"/>
      <c r="J162" s="7"/>
      <c r="K162" s="12" t="s">
        <v>21</v>
      </c>
      <c r="L162" s="12" t="str">
        <f t="shared" si="3"/>
        <v/>
      </c>
      <c r="M162" s="10" t="str">
        <f>""</f>
        <v/>
      </c>
    </row>
    <row r="163" spans="1:13" ht="12" customHeight="1" x14ac:dyDescent="0.25">
      <c r="A163" s="10" t="s">
        <v>332</v>
      </c>
      <c r="B163" s="10" t="s">
        <v>333</v>
      </c>
      <c r="C163" s="10" t="str">
        <f>"30121430-6"</f>
        <v>30121430-6</v>
      </c>
      <c r="D163" s="11">
        <v>2000</v>
      </c>
      <c r="E163" s="10" t="s">
        <v>19</v>
      </c>
      <c r="F163" s="7"/>
      <c r="G163" s="12" t="s">
        <v>20</v>
      </c>
      <c r="H163" s="7"/>
      <c r="I163" s="7"/>
      <c r="J163" s="7"/>
      <c r="K163" s="12" t="s">
        <v>21</v>
      </c>
      <c r="L163" s="12" t="str">
        <f t="shared" si="3"/>
        <v/>
      </c>
      <c r="M163" s="10" t="str">
        <f>""</f>
        <v/>
      </c>
    </row>
    <row r="164" spans="1:13" ht="12" customHeight="1" x14ac:dyDescent="0.25">
      <c r="A164" s="10" t="s">
        <v>334</v>
      </c>
      <c r="B164" s="10" t="s">
        <v>335</v>
      </c>
      <c r="C164" s="10" t="str">
        <f>"50310000-1"</f>
        <v>50310000-1</v>
      </c>
      <c r="D164" s="11">
        <v>5000</v>
      </c>
      <c r="E164" s="10" t="s">
        <v>19</v>
      </c>
      <c r="F164" s="7"/>
      <c r="G164" s="12" t="s">
        <v>20</v>
      </c>
      <c r="H164" s="7"/>
      <c r="I164" s="7"/>
      <c r="J164" s="7"/>
      <c r="K164" s="12" t="s">
        <v>132</v>
      </c>
      <c r="L164" s="12" t="str">
        <f t="shared" si="3"/>
        <v/>
      </c>
      <c r="M164" s="10" t="str">
        <f>""</f>
        <v/>
      </c>
    </row>
    <row r="165" spans="1:13" ht="12" customHeight="1" x14ac:dyDescent="0.25">
      <c r="A165" s="10" t="s">
        <v>336</v>
      </c>
      <c r="B165" s="10" t="s">
        <v>337</v>
      </c>
      <c r="C165" s="10" t="str">
        <f>"30192000-1"</f>
        <v>30192000-1</v>
      </c>
      <c r="D165" s="11">
        <v>50000</v>
      </c>
      <c r="E165" s="10" t="s">
        <v>19</v>
      </c>
      <c r="F165" s="7"/>
      <c r="G165" s="12" t="s">
        <v>20</v>
      </c>
      <c r="H165" s="7"/>
      <c r="I165" s="7"/>
      <c r="J165" s="7"/>
      <c r="K165" s="12" t="s">
        <v>21</v>
      </c>
      <c r="L165" s="12" t="str">
        <f t="shared" si="3"/>
        <v/>
      </c>
      <c r="M165" s="10" t="str">
        <f>""</f>
        <v/>
      </c>
    </row>
    <row r="166" spans="1:13" ht="12" customHeight="1" x14ac:dyDescent="0.25">
      <c r="A166" s="10" t="s">
        <v>338</v>
      </c>
      <c r="B166" s="10" t="s">
        <v>339</v>
      </c>
      <c r="C166" s="10" t="str">
        <f>"34996000-5"</f>
        <v>34996000-5</v>
      </c>
      <c r="D166" s="11">
        <v>2000</v>
      </c>
      <c r="E166" s="10" t="s">
        <v>19</v>
      </c>
      <c r="F166" s="7"/>
      <c r="G166" s="12" t="s">
        <v>20</v>
      </c>
      <c r="H166" s="7"/>
      <c r="I166" s="7"/>
      <c r="J166" s="7"/>
      <c r="K166" s="12" t="s">
        <v>21</v>
      </c>
      <c r="L166" s="12" t="str">
        <f t="shared" si="3"/>
        <v/>
      </c>
      <c r="M166" s="10" t="str">
        <f>""</f>
        <v/>
      </c>
    </row>
    <row r="167" spans="1:13" ht="12" customHeight="1" x14ac:dyDescent="0.25">
      <c r="A167" s="10" t="s">
        <v>340</v>
      </c>
      <c r="B167" s="10" t="s">
        <v>341</v>
      </c>
      <c r="C167" s="10" t="str">
        <f>"32344230-7"</f>
        <v>32344230-7</v>
      </c>
      <c r="D167" s="11">
        <v>10000</v>
      </c>
      <c r="E167" s="10" t="s">
        <v>19</v>
      </c>
      <c r="F167" s="7"/>
      <c r="G167" s="12" t="s">
        <v>20</v>
      </c>
      <c r="H167" s="7"/>
      <c r="I167" s="7"/>
      <c r="J167" s="7"/>
      <c r="K167" s="12" t="s">
        <v>21</v>
      </c>
      <c r="L167" s="12" t="str">
        <f t="shared" si="3"/>
        <v/>
      </c>
      <c r="M167" s="10" t="str">
        <f>""</f>
        <v/>
      </c>
    </row>
    <row r="168" spans="1:13" ht="12" customHeight="1" x14ac:dyDescent="0.25">
      <c r="A168" s="10" t="s">
        <v>342</v>
      </c>
      <c r="B168" s="10" t="s">
        <v>343</v>
      </c>
      <c r="C168" s="10" t="str">
        <f>"38551000-2"</f>
        <v>38551000-2</v>
      </c>
      <c r="D168" s="11">
        <v>30000</v>
      </c>
      <c r="E168" s="10" t="s">
        <v>19</v>
      </c>
      <c r="F168" s="7"/>
      <c r="G168" s="12" t="s">
        <v>20</v>
      </c>
      <c r="H168" s="7"/>
      <c r="I168" s="7"/>
      <c r="J168" s="7"/>
      <c r="K168" s="12" t="s">
        <v>21</v>
      </c>
      <c r="L168" s="12" t="str">
        <f t="shared" si="3"/>
        <v/>
      </c>
      <c r="M168" s="10" t="str">
        <f>""</f>
        <v/>
      </c>
    </row>
    <row r="169" spans="1:13" ht="12" customHeight="1" x14ac:dyDescent="0.25">
      <c r="A169" s="10" t="s">
        <v>344</v>
      </c>
      <c r="B169" s="10" t="s">
        <v>345</v>
      </c>
      <c r="C169" s="10" t="str">
        <f>"50112000-3"</f>
        <v>50112000-3</v>
      </c>
      <c r="D169" s="11">
        <v>62500</v>
      </c>
      <c r="E169" s="10" t="s">
        <v>19</v>
      </c>
      <c r="F169" s="7"/>
      <c r="G169" s="12" t="s">
        <v>20</v>
      </c>
      <c r="H169" s="7"/>
      <c r="I169" s="7"/>
      <c r="J169" s="7"/>
      <c r="K169" s="12" t="s">
        <v>132</v>
      </c>
      <c r="L169" s="12" t="str">
        <f t="shared" si="3"/>
        <v/>
      </c>
      <c r="M169" s="10" t="str">
        <f>""</f>
        <v/>
      </c>
    </row>
    <row r="170" spans="1:13" ht="12" customHeight="1" x14ac:dyDescent="0.25">
      <c r="A170" s="10" t="s">
        <v>346</v>
      </c>
      <c r="B170" s="10" t="s">
        <v>347</v>
      </c>
      <c r="C170" s="10" t="str">
        <f>"34325200-3"</f>
        <v>34325200-3</v>
      </c>
      <c r="D170" s="11">
        <v>5000</v>
      </c>
      <c r="E170" s="10" t="s">
        <v>19</v>
      </c>
      <c r="F170" s="7"/>
      <c r="G170" s="12" t="s">
        <v>20</v>
      </c>
      <c r="H170" s="7"/>
      <c r="I170" s="7"/>
      <c r="J170" s="7"/>
      <c r="K170" s="12" t="s">
        <v>21</v>
      </c>
      <c r="L170" s="12" t="str">
        <f t="shared" si="3"/>
        <v/>
      </c>
      <c r="M170" s="10" t="str">
        <f>""</f>
        <v/>
      </c>
    </row>
    <row r="171" spans="1:13" ht="12" customHeight="1" x14ac:dyDescent="0.25">
      <c r="A171" s="10" t="s">
        <v>348</v>
      </c>
      <c r="B171" s="10" t="s">
        <v>349</v>
      </c>
      <c r="C171" s="10" t="str">
        <f>"34410000-4"</f>
        <v>34410000-4</v>
      </c>
      <c r="D171" s="11">
        <v>4000</v>
      </c>
      <c r="E171" s="10" t="s">
        <v>19</v>
      </c>
      <c r="F171" s="7"/>
      <c r="G171" s="12" t="s">
        <v>20</v>
      </c>
      <c r="H171" s="7"/>
      <c r="I171" s="7"/>
      <c r="J171" s="7"/>
      <c r="K171" s="12" t="s">
        <v>21</v>
      </c>
      <c r="L171" s="12" t="str">
        <f t="shared" si="3"/>
        <v/>
      </c>
      <c r="M171" s="10" t="str">
        <f>""</f>
        <v/>
      </c>
    </row>
    <row r="172" spans="1:13" ht="12" customHeight="1" x14ac:dyDescent="0.25">
      <c r="A172" s="10" t="s">
        <v>350</v>
      </c>
      <c r="B172" s="10" t="s">
        <v>351</v>
      </c>
      <c r="C172" s="10" t="str">
        <f>"45231400-9"</f>
        <v>45231400-9</v>
      </c>
      <c r="D172" s="11">
        <v>26500</v>
      </c>
      <c r="E172" s="10" t="s">
        <v>19</v>
      </c>
      <c r="F172" s="7"/>
      <c r="G172" s="12" t="s">
        <v>20</v>
      </c>
      <c r="H172" s="7"/>
      <c r="I172" s="7"/>
      <c r="J172" s="7"/>
      <c r="K172" s="12" t="s">
        <v>251</v>
      </c>
      <c r="L172" s="12" t="str">
        <f t="shared" si="3"/>
        <v/>
      </c>
      <c r="M172" s="10" t="str">
        <f>""</f>
        <v/>
      </c>
    </row>
    <row r="173" spans="1:13" ht="12" customHeight="1" x14ac:dyDescent="0.25">
      <c r="A173" s="10" t="s">
        <v>352</v>
      </c>
      <c r="B173" s="10" t="s">
        <v>353</v>
      </c>
      <c r="C173" s="10" t="str">
        <f>"45233200-1"</f>
        <v>45233200-1</v>
      </c>
      <c r="D173" s="11">
        <v>60000</v>
      </c>
      <c r="E173" s="10" t="s">
        <v>19</v>
      </c>
      <c r="F173" s="7"/>
      <c r="G173" s="12" t="s">
        <v>20</v>
      </c>
      <c r="H173" s="7"/>
      <c r="I173" s="7"/>
      <c r="J173" s="7"/>
      <c r="K173" s="12" t="s">
        <v>251</v>
      </c>
      <c r="L173" s="12" t="str">
        <f t="shared" si="3"/>
        <v/>
      </c>
      <c r="M173" s="10" t="str">
        <f>""</f>
        <v/>
      </c>
    </row>
    <row r="174" spans="1:13" ht="12" customHeight="1" x14ac:dyDescent="0.25">
      <c r="A174" s="10" t="s">
        <v>354</v>
      </c>
      <c r="B174" s="10" t="s">
        <v>355</v>
      </c>
      <c r="C174" s="10" t="str">
        <f>"45330000-9"</f>
        <v>45330000-9</v>
      </c>
      <c r="D174" s="11">
        <v>180000</v>
      </c>
      <c r="E174" s="10" t="s">
        <v>19</v>
      </c>
      <c r="F174" s="7"/>
      <c r="G174" s="12" t="s">
        <v>20</v>
      </c>
      <c r="H174" s="7"/>
      <c r="I174" s="7"/>
      <c r="J174" s="7"/>
      <c r="K174" s="12" t="s">
        <v>251</v>
      </c>
      <c r="L174" s="12" t="str">
        <f t="shared" si="3"/>
        <v/>
      </c>
      <c r="M174" s="10" t="str">
        <f>""</f>
        <v/>
      </c>
    </row>
    <row r="175" spans="1:13" ht="12" customHeight="1" x14ac:dyDescent="0.25">
      <c r="A175" s="10" t="s">
        <v>356</v>
      </c>
      <c r="B175" s="10" t="s">
        <v>357</v>
      </c>
      <c r="C175" s="10" t="str">
        <f>"45315000-8"</f>
        <v>45315000-8</v>
      </c>
      <c r="D175" s="11">
        <v>300000</v>
      </c>
      <c r="E175" s="10" t="s">
        <v>19</v>
      </c>
      <c r="F175" s="7"/>
      <c r="G175" s="12" t="s">
        <v>20</v>
      </c>
      <c r="H175" s="7"/>
      <c r="I175" s="7"/>
      <c r="J175" s="7"/>
      <c r="K175" s="12" t="s">
        <v>251</v>
      </c>
      <c r="L175" s="12" t="str">
        <f t="shared" si="3"/>
        <v/>
      </c>
      <c r="M175" s="10" t="str">
        <f>""</f>
        <v/>
      </c>
    </row>
    <row r="176" spans="1:13" ht="12" customHeight="1" x14ac:dyDescent="0.25">
      <c r="A176" s="10" t="s">
        <v>358</v>
      </c>
      <c r="B176" s="10" t="s">
        <v>359</v>
      </c>
      <c r="C176" s="10" t="str">
        <f>"45332000-3"</f>
        <v>45332000-3</v>
      </c>
      <c r="D176" s="11">
        <v>20000</v>
      </c>
      <c r="E176" s="10" t="s">
        <v>19</v>
      </c>
      <c r="F176" s="7"/>
      <c r="G176" s="12" t="s">
        <v>20</v>
      </c>
      <c r="H176" s="7"/>
      <c r="I176" s="7"/>
      <c r="J176" s="7"/>
      <c r="K176" s="12" t="s">
        <v>251</v>
      </c>
      <c r="L176" s="12" t="str">
        <f t="shared" si="3"/>
        <v/>
      </c>
      <c r="M176" s="10" t="str">
        <f>""</f>
        <v/>
      </c>
    </row>
    <row r="177" spans="1:13" ht="12" customHeight="1" x14ac:dyDescent="0.25">
      <c r="A177" s="10" t="s">
        <v>360</v>
      </c>
      <c r="B177" s="10" t="s">
        <v>361</v>
      </c>
      <c r="C177" s="10" t="str">
        <f>"45400000-1"</f>
        <v>45400000-1</v>
      </c>
      <c r="D177" s="11">
        <v>150000</v>
      </c>
      <c r="E177" s="10" t="s">
        <v>19</v>
      </c>
      <c r="F177" s="7"/>
      <c r="G177" s="12" t="s">
        <v>20</v>
      </c>
      <c r="H177" s="7"/>
      <c r="I177" s="7"/>
      <c r="J177" s="7"/>
      <c r="K177" s="12" t="s">
        <v>251</v>
      </c>
      <c r="L177" s="12" t="str">
        <f t="shared" si="3"/>
        <v/>
      </c>
      <c r="M177" s="10" t="str">
        <f>""</f>
        <v/>
      </c>
    </row>
    <row r="178" spans="1:13" ht="12" customHeight="1" x14ac:dyDescent="0.25">
      <c r="A178" s="10" t="s">
        <v>362</v>
      </c>
      <c r="B178" s="10" t="s">
        <v>255</v>
      </c>
      <c r="C178" s="10" t="str">
        <f>"45421000-4"</f>
        <v>45421000-4</v>
      </c>
      <c r="D178" s="11">
        <v>130000</v>
      </c>
      <c r="E178" s="10" t="s">
        <v>19</v>
      </c>
      <c r="F178" s="7"/>
      <c r="G178" s="12" t="s">
        <v>20</v>
      </c>
      <c r="H178" s="7"/>
      <c r="I178" s="7"/>
      <c r="J178" s="7"/>
      <c r="K178" s="12" t="s">
        <v>251</v>
      </c>
      <c r="L178" s="12" t="str">
        <f t="shared" si="3"/>
        <v/>
      </c>
      <c r="M178" s="10" t="str">
        <f>""</f>
        <v/>
      </c>
    </row>
    <row r="179" spans="1:13" ht="12" customHeight="1" x14ac:dyDescent="0.25">
      <c r="A179" s="10" t="s">
        <v>363</v>
      </c>
      <c r="B179" s="10" t="s">
        <v>364</v>
      </c>
      <c r="C179" s="10" t="str">
        <f>"45431000-7"</f>
        <v>45431000-7</v>
      </c>
      <c r="D179" s="11">
        <v>40000</v>
      </c>
      <c r="E179" s="10" t="s">
        <v>19</v>
      </c>
      <c r="F179" s="7"/>
      <c r="G179" s="12" t="s">
        <v>20</v>
      </c>
      <c r="H179" s="7"/>
      <c r="I179" s="7"/>
      <c r="J179" s="7"/>
      <c r="K179" s="12" t="s">
        <v>251</v>
      </c>
      <c r="L179" s="12" t="str">
        <f t="shared" si="3"/>
        <v/>
      </c>
      <c r="M179" s="10" t="str">
        <f>""</f>
        <v/>
      </c>
    </row>
    <row r="180" spans="1:13" ht="12" customHeight="1" x14ac:dyDescent="0.25">
      <c r="A180" s="10" t="s">
        <v>365</v>
      </c>
      <c r="B180" s="10" t="s">
        <v>366</v>
      </c>
      <c r="C180" s="10" t="str">
        <f>"45432100-5"</f>
        <v>45432100-5</v>
      </c>
      <c r="D180" s="11">
        <v>82900</v>
      </c>
      <c r="E180" s="10" t="s">
        <v>19</v>
      </c>
      <c r="F180" s="7"/>
      <c r="G180" s="12" t="s">
        <v>20</v>
      </c>
      <c r="H180" s="7"/>
      <c r="I180" s="7"/>
      <c r="J180" s="7"/>
      <c r="K180" s="12" t="s">
        <v>251</v>
      </c>
      <c r="L180" s="12" t="str">
        <f t="shared" si="3"/>
        <v/>
      </c>
      <c r="M180" s="10" t="str">
        <f>""</f>
        <v/>
      </c>
    </row>
    <row r="181" spans="1:13" ht="12" customHeight="1" x14ac:dyDescent="0.25">
      <c r="A181" s="10" t="s">
        <v>367</v>
      </c>
      <c r="B181" s="10" t="s">
        <v>257</v>
      </c>
      <c r="C181" s="10" t="str">
        <f>"45442100-8"</f>
        <v>45442100-8</v>
      </c>
      <c r="D181" s="11">
        <v>100000</v>
      </c>
      <c r="E181" s="10" t="s">
        <v>19</v>
      </c>
      <c r="F181" s="7"/>
      <c r="G181" s="12" t="s">
        <v>20</v>
      </c>
      <c r="H181" s="7"/>
      <c r="I181" s="7"/>
      <c r="J181" s="7"/>
      <c r="K181" s="12" t="s">
        <v>251</v>
      </c>
      <c r="L181" s="12" t="str">
        <f t="shared" si="3"/>
        <v/>
      </c>
      <c r="M181" s="10" t="str">
        <f>""</f>
        <v/>
      </c>
    </row>
    <row r="182" spans="1:13" ht="12" customHeight="1" x14ac:dyDescent="0.25">
      <c r="A182" s="10" t="s">
        <v>368</v>
      </c>
      <c r="B182" s="10" t="s">
        <v>369</v>
      </c>
      <c r="C182" s="10" t="str">
        <f>"50112000-3"</f>
        <v>50112000-3</v>
      </c>
      <c r="D182" s="11">
        <v>1000</v>
      </c>
      <c r="E182" s="10" t="s">
        <v>19</v>
      </c>
      <c r="F182" s="7"/>
      <c r="G182" s="12" t="s">
        <v>20</v>
      </c>
      <c r="H182" s="7"/>
      <c r="I182" s="7"/>
      <c r="J182" s="7"/>
      <c r="K182" s="12" t="s">
        <v>132</v>
      </c>
      <c r="L182" s="12" t="str">
        <f t="shared" si="3"/>
        <v/>
      </c>
      <c r="M182" s="10" t="str">
        <f>""</f>
        <v/>
      </c>
    </row>
    <row r="183" spans="1:13" ht="12" customHeight="1" x14ac:dyDescent="0.25">
      <c r="A183" s="10" t="s">
        <v>370</v>
      </c>
      <c r="B183" s="10" t="s">
        <v>371</v>
      </c>
      <c r="C183" s="10" t="str">
        <f>"98316000-1"</f>
        <v>98316000-1</v>
      </c>
      <c r="D183" s="11">
        <v>20000</v>
      </c>
      <c r="E183" s="10" t="s">
        <v>19</v>
      </c>
      <c r="F183" s="7"/>
      <c r="G183" s="12" t="s">
        <v>20</v>
      </c>
      <c r="H183" s="7"/>
      <c r="I183" s="7"/>
      <c r="J183" s="7"/>
      <c r="K183" s="12" t="s">
        <v>132</v>
      </c>
      <c r="L183" s="12" t="str">
        <f t="shared" si="3"/>
        <v/>
      </c>
      <c r="M183" s="10" t="str">
        <f>""</f>
        <v/>
      </c>
    </row>
    <row r="184" spans="1:13" ht="12" customHeight="1" x14ac:dyDescent="0.25">
      <c r="A184" s="10" t="s">
        <v>372</v>
      </c>
      <c r="B184" s="10" t="s">
        <v>373</v>
      </c>
      <c r="C184" s="10" t="str">
        <f>"50114000-7"</f>
        <v>50114000-7</v>
      </c>
      <c r="D184" s="11">
        <v>90000</v>
      </c>
      <c r="E184" s="10" t="s">
        <v>19</v>
      </c>
      <c r="F184" s="7"/>
      <c r="G184" s="12" t="s">
        <v>20</v>
      </c>
      <c r="H184" s="7"/>
      <c r="I184" s="7"/>
      <c r="J184" s="7"/>
      <c r="K184" s="12" t="s">
        <v>132</v>
      </c>
      <c r="L184" s="12" t="str">
        <f t="shared" si="3"/>
        <v/>
      </c>
      <c r="M184" s="10" t="str">
        <f>""</f>
        <v/>
      </c>
    </row>
    <row r="185" spans="1:13" ht="12" customHeight="1" x14ac:dyDescent="0.25">
      <c r="A185" s="10" t="s">
        <v>374</v>
      </c>
      <c r="B185" s="10" t="s">
        <v>375</v>
      </c>
      <c r="C185" s="10" t="str">
        <f>"50116500-6"</f>
        <v>50116500-6</v>
      </c>
      <c r="D185" s="11">
        <v>7000</v>
      </c>
      <c r="E185" s="10" t="s">
        <v>19</v>
      </c>
      <c r="F185" s="7"/>
      <c r="G185" s="12" t="s">
        <v>20</v>
      </c>
      <c r="H185" s="7"/>
      <c r="I185" s="7"/>
      <c r="J185" s="7"/>
      <c r="K185" s="12" t="s">
        <v>132</v>
      </c>
      <c r="L185" s="12" t="str">
        <f t="shared" si="3"/>
        <v/>
      </c>
      <c r="M185" s="10" t="str">
        <f>""</f>
        <v/>
      </c>
    </row>
    <row r="186" spans="1:13" ht="12" customHeight="1" x14ac:dyDescent="0.25">
      <c r="A186" s="10" t="s">
        <v>376</v>
      </c>
      <c r="B186" s="10" t="s">
        <v>377</v>
      </c>
      <c r="C186" s="10" t="str">
        <f>"98394000-1"</f>
        <v>98394000-1</v>
      </c>
      <c r="D186" s="11">
        <v>3000</v>
      </c>
      <c r="E186" s="10" t="s">
        <v>19</v>
      </c>
      <c r="F186" s="7"/>
      <c r="G186" s="12" t="s">
        <v>20</v>
      </c>
      <c r="H186" s="7"/>
      <c r="I186" s="7"/>
      <c r="J186" s="7"/>
      <c r="K186" s="12" t="s">
        <v>132</v>
      </c>
      <c r="L186" s="12" t="str">
        <f t="shared" si="3"/>
        <v/>
      </c>
      <c r="M186" s="10" t="str">
        <f>""</f>
        <v/>
      </c>
    </row>
    <row r="187" spans="1:13" ht="12" customHeight="1" x14ac:dyDescent="0.25">
      <c r="A187" s="10" t="s">
        <v>378</v>
      </c>
      <c r="B187" s="10" t="s">
        <v>379</v>
      </c>
      <c r="C187" s="10" t="str">
        <f>"50116000-1"</f>
        <v>50116000-1</v>
      </c>
      <c r="D187" s="11">
        <v>31600</v>
      </c>
      <c r="E187" s="10" t="s">
        <v>19</v>
      </c>
      <c r="F187" s="7"/>
      <c r="G187" s="12" t="s">
        <v>20</v>
      </c>
      <c r="H187" s="7"/>
      <c r="I187" s="7"/>
      <c r="J187" s="7"/>
      <c r="K187" s="12" t="s">
        <v>132</v>
      </c>
      <c r="L187" s="12" t="str">
        <f t="shared" si="3"/>
        <v/>
      </c>
      <c r="M187" s="10" t="str">
        <f>""</f>
        <v/>
      </c>
    </row>
    <row r="188" spans="1:13" ht="12" customHeight="1" x14ac:dyDescent="0.25">
      <c r="A188" s="10" t="s">
        <v>380</v>
      </c>
      <c r="B188" s="10" t="s">
        <v>381</v>
      </c>
      <c r="C188" s="10" t="str">
        <f>"50310000-1"</f>
        <v>50310000-1</v>
      </c>
      <c r="D188" s="11">
        <v>12500</v>
      </c>
      <c r="E188" s="10" t="s">
        <v>19</v>
      </c>
      <c r="F188" s="7"/>
      <c r="G188" s="12" t="s">
        <v>20</v>
      </c>
      <c r="H188" s="7"/>
      <c r="I188" s="7"/>
      <c r="J188" s="7"/>
      <c r="K188" s="12" t="s">
        <v>132</v>
      </c>
      <c r="L188" s="12" t="str">
        <f t="shared" si="3"/>
        <v/>
      </c>
      <c r="M188" s="10" t="str">
        <f>""</f>
        <v/>
      </c>
    </row>
    <row r="189" spans="1:13" ht="12" customHeight="1" x14ac:dyDescent="0.25">
      <c r="A189" s="10" t="s">
        <v>382</v>
      </c>
      <c r="B189" s="10" t="s">
        <v>383</v>
      </c>
      <c r="C189" s="10" t="str">
        <f>"50312000-5"</f>
        <v>50312000-5</v>
      </c>
      <c r="D189" s="11">
        <v>20000</v>
      </c>
      <c r="E189" s="10" t="s">
        <v>19</v>
      </c>
      <c r="F189" s="7"/>
      <c r="G189" s="12" t="s">
        <v>20</v>
      </c>
      <c r="H189" s="7"/>
      <c r="I189" s="7"/>
      <c r="J189" s="7"/>
      <c r="K189" s="12" t="s">
        <v>132</v>
      </c>
      <c r="L189" s="12" t="str">
        <f t="shared" si="3"/>
        <v/>
      </c>
      <c r="M189" s="10" t="str">
        <f>""</f>
        <v/>
      </c>
    </row>
    <row r="190" spans="1:13" ht="12" customHeight="1" x14ac:dyDescent="0.25">
      <c r="A190" s="10" t="s">
        <v>384</v>
      </c>
      <c r="B190" s="10" t="s">
        <v>385</v>
      </c>
      <c r="C190" s="10" t="str">
        <f>"50334400-9"</f>
        <v>50334400-9</v>
      </c>
      <c r="D190" s="11">
        <v>10000</v>
      </c>
      <c r="E190" s="10" t="s">
        <v>19</v>
      </c>
      <c r="F190" s="7"/>
      <c r="G190" s="12" t="s">
        <v>20</v>
      </c>
      <c r="H190" s="7"/>
      <c r="I190" s="7"/>
      <c r="J190" s="7"/>
      <c r="K190" s="12" t="s">
        <v>132</v>
      </c>
      <c r="L190" s="12" t="str">
        <f t="shared" si="3"/>
        <v/>
      </c>
      <c r="M190" s="10" t="str">
        <f>""</f>
        <v/>
      </c>
    </row>
    <row r="191" spans="1:13" ht="12" customHeight="1" x14ac:dyDescent="0.25">
      <c r="A191" s="10" t="s">
        <v>386</v>
      </c>
      <c r="B191" s="10" t="s">
        <v>387</v>
      </c>
      <c r="C191" s="10" t="str">
        <f>"50330000-7"</f>
        <v>50330000-7</v>
      </c>
      <c r="D191" s="11">
        <v>2000</v>
      </c>
      <c r="E191" s="10" t="s">
        <v>19</v>
      </c>
      <c r="F191" s="7"/>
      <c r="G191" s="12" t="s">
        <v>20</v>
      </c>
      <c r="H191" s="7"/>
      <c r="I191" s="7"/>
      <c r="J191" s="7"/>
      <c r="K191" s="12" t="s">
        <v>132</v>
      </c>
      <c r="L191" s="12" t="str">
        <f t="shared" si="3"/>
        <v/>
      </c>
      <c r="M191" s="10" t="str">
        <f>""</f>
        <v/>
      </c>
    </row>
    <row r="192" spans="1:13" ht="12" customHeight="1" x14ac:dyDescent="0.25">
      <c r="A192" s="10" t="s">
        <v>388</v>
      </c>
      <c r="B192" s="10" t="s">
        <v>389</v>
      </c>
      <c r="C192" s="10" t="str">
        <f>"50334100-6"</f>
        <v>50334100-6</v>
      </c>
      <c r="D192" s="11">
        <v>20000</v>
      </c>
      <c r="E192" s="10" t="s">
        <v>19</v>
      </c>
      <c r="F192" s="7"/>
      <c r="G192" s="12" t="s">
        <v>20</v>
      </c>
      <c r="H192" s="7"/>
      <c r="I192" s="7"/>
      <c r="J192" s="7"/>
      <c r="K192" s="12" t="s">
        <v>132</v>
      </c>
      <c r="L192" s="12" t="str">
        <f t="shared" si="3"/>
        <v/>
      </c>
      <c r="M192" s="10" t="str">
        <f>""</f>
        <v/>
      </c>
    </row>
    <row r="193" spans="1:13" ht="12" customHeight="1" x14ac:dyDescent="0.25">
      <c r="A193" s="10" t="s">
        <v>390</v>
      </c>
      <c r="B193" s="10" t="s">
        <v>391</v>
      </c>
      <c r="C193" s="10" t="str">
        <f>"50340000-0"</f>
        <v>50340000-0</v>
      </c>
      <c r="D193" s="11">
        <v>5000</v>
      </c>
      <c r="E193" s="10" t="s">
        <v>19</v>
      </c>
      <c r="F193" s="7"/>
      <c r="G193" s="12" t="s">
        <v>20</v>
      </c>
      <c r="H193" s="7"/>
      <c r="I193" s="7"/>
      <c r="J193" s="7"/>
      <c r="K193" s="12" t="s">
        <v>132</v>
      </c>
      <c r="L193" s="12" t="str">
        <f t="shared" si="3"/>
        <v/>
      </c>
      <c r="M193" s="10" t="str">
        <f>""</f>
        <v/>
      </c>
    </row>
    <row r="194" spans="1:13" ht="12" customHeight="1" x14ac:dyDescent="0.25">
      <c r="A194" s="10" t="s">
        <v>392</v>
      </c>
      <c r="B194" s="10" t="s">
        <v>393</v>
      </c>
      <c r="C194" s="10" t="str">
        <f>"50342000-4"</f>
        <v>50342000-4</v>
      </c>
      <c r="D194" s="11">
        <v>5000</v>
      </c>
      <c r="E194" s="10" t="s">
        <v>19</v>
      </c>
      <c r="F194" s="7"/>
      <c r="G194" s="12" t="s">
        <v>20</v>
      </c>
      <c r="H194" s="7"/>
      <c r="I194" s="7"/>
      <c r="J194" s="7"/>
      <c r="K194" s="12" t="s">
        <v>132</v>
      </c>
      <c r="L194" s="12" t="str">
        <f t="shared" si="3"/>
        <v/>
      </c>
      <c r="M194" s="10" t="str">
        <f>""</f>
        <v/>
      </c>
    </row>
    <row r="195" spans="1:13" ht="12" customHeight="1" x14ac:dyDescent="0.25">
      <c r="A195" s="10" t="s">
        <v>394</v>
      </c>
      <c r="B195" s="10" t="s">
        <v>395</v>
      </c>
      <c r="C195" s="10" t="str">
        <f>"50411000-9"</f>
        <v>50411000-9</v>
      </c>
      <c r="D195" s="11">
        <v>3500</v>
      </c>
      <c r="E195" s="10" t="s">
        <v>19</v>
      </c>
      <c r="F195" s="7"/>
      <c r="G195" s="12" t="s">
        <v>20</v>
      </c>
      <c r="H195" s="7"/>
      <c r="I195" s="7"/>
      <c r="J195" s="7"/>
      <c r="K195" s="12" t="s">
        <v>132</v>
      </c>
      <c r="L195" s="12" t="str">
        <f t="shared" si="3"/>
        <v/>
      </c>
      <c r="M195" s="10" t="str">
        <f>""</f>
        <v/>
      </c>
    </row>
    <row r="196" spans="1:13" ht="12" customHeight="1" x14ac:dyDescent="0.25">
      <c r="A196" s="10" t="s">
        <v>396</v>
      </c>
      <c r="B196" s="10" t="s">
        <v>397</v>
      </c>
      <c r="C196" s="10" t="str">
        <f>"50412000-6"</f>
        <v>50412000-6</v>
      </c>
      <c r="D196" s="11">
        <v>12000</v>
      </c>
      <c r="E196" s="10" t="s">
        <v>19</v>
      </c>
      <c r="F196" s="7"/>
      <c r="G196" s="12" t="s">
        <v>20</v>
      </c>
      <c r="H196" s="7"/>
      <c r="I196" s="7"/>
      <c r="J196" s="7"/>
      <c r="K196" s="12" t="s">
        <v>132</v>
      </c>
      <c r="L196" s="12" t="str">
        <f t="shared" si="3"/>
        <v/>
      </c>
      <c r="M196" s="10" t="str">
        <f>""</f>
        <v/>
      </c>
    </row>
    <row r="197" spans="1:13" ht="12" customHeight="1" x14ac:dyDescent="0.25">
      <c r="A197" s="10" t="s">
        <v>398</v>
      </c>
      <c r="B197" s="10" t="s">
        <v>399</v>
      </c>
      <c r="C197" s="10" t="str">
        <f>"50413000-3"</f>
        <v>50413000-3</v>
      </c>
      <c r="D197" s="11">
        <v>68000</v>
      </c>
      <c r="E197" s="10" t="s">
        <v>19</v>
      </c>
      <c r="F197" s="7"/>
      <c r="G197" s="12" t="s">
        <v>20</v>
      </c>
      <c r="H197" s="7"/>
      <c r="I197" s="7"/>
      <c r="J197" s="7"/>
      <c r="K197" s="12" t="s">
        <v>132</v>
      </c>
      <c r="L197" s="12" t="str">
        <f t="shared" si="3"/>
        <v/>
      </c>
      <c r="M197" s="10" t="str">
        <f>""</f>
        <v/>
      </c>
    </row>
    <row r="198" spans="1:13" ht="12" customHeight="1" x14ac:dyDescent="0.25">
      <c r="A198" s="10" t="s">
        <v>400</v>
      </c>
      <c r="B198" s="10" t="s">
        <v>401</v>
      </c>
      <c r="C198" s="10" t="str">
        <f>"50433000-9"</f>
        <v>50433000-9</v>
      </c>
      <c r="D198" s="11">
        <v>2000</v>
      </c>
      <c r="E198" s="10" t="s">
        <v>19</v>
      </c>
      <c r="F198" s="7"/>
      <c r="G198" s="12" t="s">
        <v>20</v>
      </c>
      <c r="H198" s="7"/>
      <c r="I198" s="7"/>
      <c r="J198" s="7"/>
      <c r="K198" s="12" t="s">
        <v>132</v>
      </c>
      <c r="L198" s="12" t="str">
        <f t="shared" si="3"/>
        <v/>
      </c>
      <c r="M198" s="10" t="str">
        <f>""</f>
        <v/>
      </c>
    </row>
    <row r="199" spans="1:13" ht="12" customHeight="1" x14ac:dyDescent="0.25">
      <c r="A199" s="10" t="s">
        <v>402</v>
      </c>
      <c r="B199" s="10" t="s">
        <v>403</v>
      </c>
      <c r="C199" s="10" t="str">
        <f>"50411300-2"</f>
        <v>50411300-2</v>
      </c>
      <c r="D199" s="11">
        <v>5000</v>
      </c>
      <c r="E199" s="10" t="s">
        <v>19</v>
      </c>
      <c r="F199" s="7"/>
      <c r="G199" s="12" t="s">
        <v>20</v>
      </c>
      <c r="H199" s="7"/>
      <c r="I199" s="7"/>
      <c r="J199" s="7"/>
      <c r="K199" s="12" t="s">
        <v>132</v>
      </c>
      <c r="L199" s="12" t="str">
        <f t="shared" si="3"/>
        <v/>
      </c>
      <c r="M199" s="10" t="str">
        <f>""</f>
        <v/>
      </c>
    </row>
    <row r="200" spans="1:13" ht="12" customHeight="1" x14ac:dyDescent="0.25">
      <c r="A200" s="10" t="s">
        <v>404</v>
      </c>
      <c r="B200" s="10" t="s">
        <v>405</v>
      </c>
      <c r="C200" s="10" t="str">
        <f>"50511000-0"</f>
        <v>50511000-0</v>
      </c>
      <c r="D200" s="11">
        <v>25000</v>
      </c>
      <c r="E200" s="10" t="s">
        <v>19</v>
      </c>
      <c r="F200" s="7"/>
      <c r="G200" s="12" t="s">
        <v>20</v>
      </c>
      <c r="H200" s="7"/>
      <c r="I200" s="7"/>
      <c r="J200" s="7"/>
      <c r="K200" s="12" t="s">
        <v>132</v>
      </c>
      <c r="L200" s="12" t="str">
        <f t="shared" ref="L200:L263" si="4">CONCATENATE("")</f>
        <v/>
      </c>
      <c r="M200" s="10" t="str">
        <f>""</f>
        <v/>
      </c>
    </row>
    <row r="201" spans="1:13" ht="12" customHeight="1" x14ac:dyDescent="0.25">
      <c r="A201" s="10" t="s">
        <v>406</v>
      </c>
      <c r="B201" s="10" t="s">
        <v>407</v>
      </c>
      <c r="C201" s="10" t="str">
        <f>"50530000-9"</f>
        <v>50530000-9</v>
      </c>
      <c r="D201" s="11">
        <v>22000</v>
      </c>
      <c r="E201" s="10" t="s">
        <v>19</v>
      </c>
      <c r="F201" s="7"/>
      <c r="G201" s="12" t="s">
        <v>20</v>
      </c>
      <c r="H201" s="7"/>
      <c r="I201" s="7"/>
      <c r="J201" s="7"/>
      <c r="K201" s="12" t="s">
        <v>132</v>
      </c>
      <c r="L201" s="12" t="str">
        <f t="shared" si="4"/>
        <v/>
      </c>
      <c r="M201" s="10" t="str">
        <f>""</f>
        <v/>
      </c>
    </row>
    <row r="202" spans="1:13" ht="12" customHeight="1" x14ac:dyDescent="0.25">
      <c r="A202" s="10" t="s">
        <v>408</v>
      </c>
      <c r="B202" s="10" t="s">
        <v>409</v>
      </c>
      <c r="C202" s="10" t="str">
        <f>"50531300-9"</f>
        <v>50531300-9</v>
      </c>
      <c r="D202" s="11">
        <v>2500</v>
      </c>
      <c r="E202" s="10" t="s">
        <v>19</v>
      </c>
      <c r="F202" s="7"/>
      <c r="G202" s="12" t="s">
        <v>20</v>
      </c>
      <c r="H202" s="7"/>
      <c r="I202" s="7"/>
      <c r="J202" s="7"/>
      <c r="K202" s="12" t="s">
        <v>132</v>
      </c>
      <c r="L202" s="12" t="str">
        <f t="shared" si="4"/>
        <v/>
      </c>
      <c r="M202" s="10" t="str">
        <f>""</f>
        <v/>
      </c>
    </row>
    <row r="203" spans="1:13" ht="12" customHeight="1" x14ac:dyDescent="0.25">
      <c r="A203" s="10" t="s">
        <v>410</v>
      </c>
      <c r="B203" s="10" t="s">
        <v>411</v>
      </c>
      <c r="C203" s="10" t="str">
        <f>"50800000-3"</f>
        <v>50800000-3</v>
      </c>
      <c r="D203" s="11">
        <v>25000</v>
      </c>
      <c r="E203" s="10" t="s">
        <v>19</v>
      </c>
      <c r="F203" s="7"/>
      <c r="G203" s="12" t="s">
        <v>20</v>
      </c>
      <c r="H203" s="7"/>
      <c r="I203" s="7"/>
      <c r="J203" s="7"/>
      <c r="K203" s="12" t="s">
        <v>132</v>
      </c>
      <c r="L203" s="12" t="str">
        <f t="shared" si="4"/>
        <v/>
      </c>
      <c r="M203" s="10" t="str">
        <f>""</f>
        <v/>
      </c>
    </row>
    <row r="204" spans="1:13" ht="12" customHeight="1" x14ac:dyDescent="0.25">
      <c r="A204" s="10" t="s">
        <v>412</v>
      </c>
      <c r="B204" s="10" t="s">
        <v>413</v>
      </c>
      <c r="C204" s="10" t="str">
        <f>"50532100-4"</f>
        <v>50532100-4</v>
      </c>
      <c r="D204" s="11">
        <v>4000</v>
      </c>
      <c r="E204" s="10" t="s">
        <v>19</v>
      </c>
      <c r="F204" s="7"/>
      <c r="G204" s="12" t="s">
        <v>20</v>
      </c>
      <c r="H204" s="7"/>
      <c r="I204" s="7"/>
      <c r="J204" s="7"/>
      <c r="K204" s="12" t="s">
        <v>132</v>
      </c>
      <c r="L204" s="12" t="str">
        <f t="shared" si="4"/>
        <v/>
      </c>
      <c r="M204" s="10" t="str">
        <f>""</f>
        <v/>
      </c>
    </row>
    <row r="205" spans="1:13" ht="12" customHeight="1" x14ac:dyDescent="0.25">
      <c r="A205" s="10" t="s">
        <v>414</v>
      </c>
      <c r="B205" s="10" t="s">
        <v>415</v>
      </c>
      <c r="C205" s="10" t="str">
        <f>"50532000-3"</f>
        <v>50532000-3</v>
      </c>
      <c r="D205" s="11">
        <v>6000</v>
      </c>
      <c r="E205" s="10" t="s">
        <v>19</v>
      </c>
      <c r="F205" s="7"/>
      <c r="G205" s="12" t="s">
        <v>20</v>
      </c>
      <c r="H205" s="7"/>
      <c r="I205" s="7"/>
      <c r="J205" s="7"/>
      <c r="K205" s="12" t="s">
        <v>132</v>
      </c>
      <c r="L205" s="12" t="str">
        <f t="shared" si="4"/>
        <v/>
      </c>
      <c r="M205" s="10" t="str">
        <f>""</f>
        <v/>
      </c>
    </row>
    <row r="206" spans="1:13" ht="12" customHeight="1" x14ac:dyDescent="0.25">
      <c r="A206" s="10" t="s">
        <v>416</v>
      </c>
      <c r="B206" s="10" t="s">
        <v>417</v>
      </c>
      <c r="C206" s="10" t="str">
        <f>"50000000-5"</f>
        <v>50000000-5</v>
      </c>
      <c r="D206" s="11">
        <v>10000</v>
      </c>
      <c r="E206" s="10" t="s">
        <v>19</v>
      </c>
      <c r="F206" s="7"/>
      <c r="G206" s="12" t="s">
        <v>20</v>
      </c>
      <c r="H206" s="7"/>
      <c r="I206" s="7"/>
      <c r="J206" s="7"/>
      <c r="K206" s="12" t="s">
        <v>132</v>
      </c>
      <c r="L206" s="12" t="str">
        <f t="shared" si="4"/>
        <v/>
      </c>
      <c r="M206" s="10" t="str">
        <f>""</f>
        <v/>
      </c>
    </row>
    <row r="207" spans="1:13" ht="12" customHeight="1" x14ac:dyDescent="0.25">
      <c r="A207" s="10" t="s">
        <v>418</v>
      </c>
      <c r="B207" s="10" t="s">
        <v>419</v>
      </c>
      <c r="C207" s="10" t="str">
        <f>"44221230-6"</f>
        <v>44221230-6</v>
      </c>
      <c r="D207" s="11">
        <v>30000</v>
      </c>
      <c r="E207" s="10" t="s">
        <v>19</v>
      </c>
      <c r="F207" s="7"/>
      <c r="G207" s="12" t="s">
        <v>20</v>
      </c>
      <c r="H207" s="7"/>
      <c r="I207" s="7"/>
      <c r="J207" s="7"/>
      <c r="K207" s="12" t="s">
        <v>21</v>
      </c>
      <c r="L207" s="12" t="str">
        <f t="shared" si="4"/>
        <v/>
      </c>
      <c r="M207" s="10" t="str">
        <f>""</f>
        <v/>
      </c>
    </row>
    <row r="208" spans="1:13" ht="12" customHeight="1" x14ac:dyDescent="0.25">
      <c r="A208" s="10" t="s">
        <v>420</v>
      </c>
      <c r="B208" s="10" t="s">
        <v>421</v>
      </c>
      <c r="C208" s="10" t="str">
        <f>"45332000-3"</f>
        <v>45332000-3</v>
      </c>
      <c r="D208" s="11">
        <v>142000</v>
      </c>
      <c r="E208" s="10" t="s">
        <v>19</v>
      </c>
      <c r="F208" s="7"/>
      <c r="G208" s="12" t="s">
        <v>20</v>
      </c>
      <c r="H208" s="7"/>
      <c r="I208" s="7"/>
      <c r="J208" s="7"/>
      <c r="K208" s="12" t="s">
        <v>251</v>
      </c>
      <c r="L208" s="12" t="str">
        <f t="shared" si="4"/>
        <v/>
      </c>
      <c r="M208" s="10" t="str">
        <f>""</f>
        <v/>
      </c>
    </row>
    <row r="209" spans="1:13" ht="12" customHeight="1" x14ac:dyDescent="0.25">
      <c r="A209" s="10" t="s">
        <v>422</v>
      </c>
      <c r="B209" s="10" t="s">
        <v>423</v>
      </c>
      <c r="C209" s="10" t="str">
        <f>"45331210-1"</f>
        <v>45331210-1</v>
      </c>
      <c r="D209" s="11">
        <v>20000</v>
      </c>
      <c r="E209" s="10" t="s">
        <v>19</v>
      </c>
      <c r="F209" s="7"/>
      <c r="G209" s="12" t="s">
        <v>20</v>
      </c>
      <c r="H209" s="7"/>
      <c r="I209" s="7"/>
      <c r="J209" s="7"/>
      <c r="K209" s="12" t="s">
        <v>251</v>
      </c>
      <c r="L209" s="12" t="str">
        <f t="shared" si="4"/>
        <v/>
      </c>
      <c r="M209" s="10" t="str">
        <f>""</f>
        <v/>
      </c>
    </row>
    <row r="210" spans="1:13" ht="12" customHeight="1" x14ac:dyDescent="0.25">
      <c r="A210" s="10" t="s">
        <v>424</v>
      </c>
      <c r="B210" s="10" t="s">
        <v>425</v>
      </c>
      <c r="C210" s="10" t="str">
        <f>"50711000-2"</f>
        <v>50711000-2</v>
      </c>
      <c r="D210" s="11">
        <v>20000</v>
      </c>
      <c r="E210" s="10" t="s">
        <v>19</v>
      </c>
      <c r="F210" s="7"/>
      <c r="G210" s="12" t="s">
        <v>20</v>
      </c>
      <c r="H210" s="7"/>
      <c r="I210" s="7"/>
      <c r="J210" s="7"/>
      <c r="K210" s="12" t="s">
        <v>132</v>
      </c>
      <c r="L210" s="12" t="str">
        <f t="shared" si="4"/>
        <v/>
      </c>
      <c r="M210" s="10" t="str">
        <f>""</f>
        <v/>
      </c>
    </row>
    <row r="211" spans="1:13" ht="12" customHeight="1" x14ac:dyDescent="0.25">
      <c r="A211" s="10" t="s">
        <v>426</v>
      </c>
      <c r="B211" s="10" t="s">
        <v>427</v>
      </c>
      <c r="C211" s="10" t="str">
        <f>"50324100-3"</f>
        <v>50324100-3</v>
      </c>
      <c r="D211" s="11">
        <v>70000</v>
      </c>
      <c r="E211" s="10" t="s">
        <v>19</v>
      </c>
      <c r="F211" s="7"/>
      <c r="G211" s="12" t="s">
        <v>20</v>
      </c>
      <c r="H211" s="7"/>
      <c r="I211" s="7"/>
      <c r="J211" s="7"/>
      <c r="K211" s="12" t="s">
        <v>132</v>
      </c>
      <c r="L211" s="12" t="str">
        <f t="shared" si="4"/>
        <v/>
      </c>
      <c r="M211" s="10" t="str">
        <f>""</f>
        <v/>
      </c>
    </row>
    <row r="212" spans="1:13" ht="12" customHeight="1" x14ac:dyDescent="0.25">
      <c r="A212" s="10" t="s">
        <v>428</v>
      </c>
      <c r="B212" s="10" t="s">
        <v>429</v>
      </c>
      <c r="C212" s="10" t="str">
        <f>"50720000-8"</f>
        <v>50720000-8</v>
      </c>
      <c r="D212" s="11">
        <v>122000</v>
      </c>
      <c r="E212" s="10" t="s">
        <v>19</v>
      </c>
      <c r="F212" s="7"/>
      <c r="G212" s="12" t="s">
        <v>20</v>
      </c>
      <c r="H212" s="7"/>
      <c r="I212" s="7"/>
      <c r="J212" s="7"/>
      <c r="K212" s="12" t="s">
        <v>132</v>
      </c>
      <c r="L212" s="12" t="str">
        <f t="shared" si="4"/>
        <v/>
      </c>
      <c r="M212" s="10" t="str">
        <f>""</f>
        <v/>
      </c>
    </row>
    <row r="213" spans="1:13" ht="12" customHeight="1" x14ac:dyDescent="0.25">
      <c r="A213" s="10" t="s">
        <v>430</v>
      </c>
      <c r="B213" s="10" t="s">
        <v>431</v>
      </c>
      <c r="C213" s="10" t="str">
        <f>"50720000-8"</f>
        <v>50720000-8</v>
      </c>
      <c r="D213" s="11">
        <v>160000</v>
      </c>
      <c r="E213" s="10" t="s">
        <v>19</v>
      </c>
      <c r="F213" s="7"/>
      <c r="G213" s="12" t="s">
        <v>20</v>
      </c>
      <c r="H213" s="7"/>
      <c r="I213" s="7"/>
      <c r="J213" s="7"/>
      <c r="K213" s="12" t="s">
        <v>132</v>
      </c>
      <c r="L213" s="12" t="str">
        <f t="shared" si="4"/>
        <v/>
      </c>
      <c r="M213" s="10" t="str">
        <f>""</f>
        <v/>
      </c>
    </row>
    <row r="214" spans="1:13" ht="12" customHeight="1" x14ac:dyDescent="0.25">
      <c r="A214" s="10" t="s">
        <v>432</v>
      </c>
      <c r="B214" s="10" t="s">
        <v>433</v>
      </c>
      <c r="C214" s="10" t="str">
        <f>"50730000-1"</f>
        <v>50730000-1</v>
      </c>
      <c r="D214" s="11">
        <v>138000</v>
      </c>
      <c r="E214" s="10" t="s">
        <v>19</v>
      </c>
      <c r="F214" s="7"/>
      <c r="G214" s="12" t="s">
        <v>20</v>
      </c>
      <c r="H214" s="7"/>
      <c r="I214" s="7"/>
      <c r="J214" s="7"/>
      <c r="K214" s="12" t="s">
        <v>132</v>
      </c>
      <c r="L214" s="12" t="str">
        <f t="shared" si="4"/>
        <v/>
      </c>
      <c r="M214" s="10" t="str">
        <f>""</f>
        <v/>
      </c>
    </row>
    <row r="215" spans="1:13" ht="12" customHeight="1" x14ac:dyDescent="0.25">
      <c r="A215" s="10" t="s">
        <v>434</v>
      </c>
      <c r="B215" s="10" t="s">
        <v>435</v>
      </c>
      <c r="C215" s="10" t="str">
        <f>"50531400-0"</f>
        <v>50531400-0</v>
      </c>
      <c r="D215" s="11">
        <v>10000</v>
      </c>
      <c r="E215" s="10" t="s">
        <v>19</v>
      </c>
      <c r="F215" s="7"/>
      <c r="G215" s="12" t="s">
        <v>20</v>
      </c>
      <c r="H215" s="7"/>
      <c r="I215" s="7"/>
      <c r="J215" s="7"/>
      <c r="K215" s="12" t="s">
        <v>132</v>
      </c>
      <c r="L215" s="12" t="str">
        <f t="shared" si="4"/>
        <v/>
      </c>
      <c r="M215" s="10" t="str">
        <f>""</f>
        <v/>
      </c>
    </row>
    <row r="216" spans="1:13" ht="12" customHeight="1" x14ac:dyDescent="0.25">
      <c r="A216" s="10" t="s">
        <v>436</v>
      </c>
      <c r="B216" s="10" t="s">
        <v>437</v>
      </c>
      <c r="C216" s="10" t="str">
        <f>"50750000-7"</f>
        <v>50750000-7</v>
      </c>
      <c r="D216" s="11">
        <v>40000</v>
      </c>
      <c r="E216" s="10" t="s">
        <v>19</v>
      </c>
      <c r="F216" s="7"/>
      <c r="G216" s="12" t="s">
        <v>20</v>
      </c>
      <c r="H216" s="7"/>
      <c r="I216" s="7"/>
      <c r="J216" s="7"/>
      <c r="K216" s="12" t="s">
        <v>132</v>
      </c>
      <c r="L216" s="12" t="str">
        <f t="shared" si="4"/>
        <v/>
      </c>
      <c r="M216" s="10" t="str">
        <f>""</f>
        <v/>
      </c>
    </row>
    <row r="217" spans="1:13" ht="12" customHeight="1" x14ac:dyDescent="0.25">
      <c r="A217" s="10" t="s">
        <v>438</v>
      </c>
      <c r="B217" s="10" t="s">
        <v>439</v>
      </c>
      <c r="C217" s="10" t="str">
        <f>"50750000-7"</f>
        <v>50750000-7</v>
      </c>
      <c r="D217" s="11">
        <v>20000</v>
      </c>
      <c r="E217" s="10" t="s">
        <v>19</v>
      </c>
      <c r="F217" s="7"/>
      <c r="G217" s="12" t="s">
        <v>20</v>
      </c>
      <c r="H217" s="7"/>
      <c r="I217" s="7"/>
      <c r="J217" s="7"/>
      <c r="K217" s="12" t="s">
        <v>132</v>
      </c>
      <c r="L217" s="12" t="str">
        <f t="shared" si="4"/>
        <v/>
      </c>
      <c r="M217" s="10" t="str">
        <f>""</f>
        <v/>
      </c>
    </row>
    <row r="218" spans="1:13" ht="12" customHeight="1" x14ac:dyDescent="0.25">
      <c r="A218" s="10" t="s">
        <v>440</v>
      </c>
      <c r="B218" s="10" t="s">
        <v>441</v>
      </c>
      <c r="C218" s="10" t="str">
        <f>"50880000-7"</f>
        <v>50880000-7</v>
      </c>
      <c r="D218" s="11">
        <v>6000</v>
      </c>
      <c r="E218" s="10" t="s">
        <v>19</v>
      </c>
      <c r="F218" s="7"/>
      <c r="G218" s="12" t="s">
        <v>20</v>
      </c>
      <c r="H218" s="7"/>
      <c r="I218" s="7"/>
      <c r="J218" s="7"/>
      <c r="K218" s="12" t="s">
        <v>132</v>
      </c>
      <c r="L218" s="12" t="str">
        <f t="shared" si="4"/>
        <v/>
      </c>
      <c r="M218" s="10" t="str">
        <f>""</f>
        <v/>
      </c>
    </row>
    <row r="219" spans="1:13" ht="12" customHeight="1" x14ac:dyDescent="0.25">
      <c r="A219" s="10" t="s">
        <v>442</v>
      </c>
      <c r="B219" s="10" t="s">
        <v>443</v>
      </c>
      <c r="C219" s="10" t="str">
        <f>"72262000-9"</f>
        <v>72262000-9</v>
      </c>
      <c r="D219" s="11">
        <v>2000</v>
      </c>
      <c r="E219" s="10" t="s">
        <v>19</v>
      </c>
      <c r="F219" s="7"/>
      <c r="G219" s="12" t="s">
        <v>20</v>
      </c>
      <c r="H219" s="7"/>
      <c r="I219" s="7"/>
      <c r="J219" s="7"/>
      <c r="K219" s="12" t="s">
        <v>132</v>
      </c>
      <c r="L219" s="12" t="str">
        <f t="shared" si="4"/>
        <v/>
      </c>
      <c r="M219" s="10" t="str">
        <f>""</f>
        <v/>
      </c>
    </row>
    <row r="220" spans="1:13" ht="12" customHeight="1" x14ac:dyDescent="0.25">
      <c r="A220" s="10" t="s">
        <v>444</v>
      </c>
      <c r="B220" s="10" t="s">
        <v>445</v>
      </c>
      <c r="C220" s="10" t="str">
        <f>"72267000-4"</f>
        <v>72267000-4</v>
      </c>
      <c r="D220" s="11">
        <v>199000</v>
      </c>
      <c r="E220" s="10" t="s">
        <v>19</v>
      </c>
      <c r="F220" s="7"/>
      <c r="G220" s="12" t="s">
        <v>20</v>
      </c>
      <c r="H220" s="7"/>
      <c r="I220" s="7"/>
      <c r="J220" s="7"/>
      <c r="K220" s="12" t="s">
        <v>132</v>
      </c>
      <c r="L220" s="12" t="str">
        <f t="shared" si="4"/>
        <v/>
      </c>
      <c r="M220" s="10" t="str">
        <f>""</f>
        <v/>
      </c>
    </row>
    <row r="221" spans="1:13" ht="12" customHeight="1" x14ac:dyDescent="0.25">
      <c r="A221" s="10" t="s">
        <v>446</v>
      </c>
      <c r="B221" s="10" t="s">
        <v>447</v>
      </c>
      <c r="C221" s="10" t="str">
        <f>"71630000-3"</f>
        <v>71630000-3</v>
      </c>
      <c r="D221" s="11">
        <v>70000</v>
      </c>
      <c r="E221" s="10" t="s">
        <v>19</v>
      </c>
      <c r="F221" s="7"/>
      <c r="G221" s="12" t="s">
        <v>20</v>
      </c>
      <c r="H221" s="7"/>
      <c r="I221" s="7"/>
      <c r="J221" s="7"/>
      <c r="K221" s="12" t="s">
        <v>132</v>
      </c>
      <c r="L221" s="12" t="str">
        <f t="shared" si="4"/>
        <v/>
      </c>
      <c r="M221" s="10" t="str">
        <f>""</f>
        <v/>
      </c>
    </row>
    <row r="222" spans="1:13" ht="12" customHeight="1" x14ac:dyDescent="0.25">
      <c r="A222" s="10" t="s">
        <v>448</v>
      </c>
      <c r="B222" s="10" t="s">
        <v>449</v>
      </c>
      <c r="C222" s="10" t="str">
        <f>"71631200-2"</f>
        <v>71631200-2</v>
      </c>
      <c r="D222" s="11">
        <v>2000</v>
      </c>
      <c r="E222" s="10" t="s">
        <v>19</v>
      </c>
      <c r="F222" s="7"/>
      <c r="G222" s="12" t="s">
        <v>20</v>
      </c>
      <c r="H222" s="7"/>
      <c r="I222" s="7"/>
      <c r="J222" s="7"/>
      <c r="K222" s="12" t="s">
        <v>132</v>
      </c>
      <c r="L222" s="12" t="str">
        <f t="shared" si="4"/>
        <v/>
      </c>
      <c r="M222" s="10" t="str">
        <f>""</f>
        <v/>
      </c>
    </row>
    <row r="223" spans="1:13" ht="12" customHeight="1" x14ac:dyDescent="0.25">
      <c r="A223" s="10" t="s">
        <v>450</v>
      </c>
      <c r="B223" s="10" t="s">
        <v>451</v>
      </c>
      <c r="C223" s="10" t="str">
        <f>"71631000-0"</f>
        <v>71631000-0</v>
      </c>
      <c r="D223" s="11">
        <v>58000</v>
      </c>
      <c r="E223" s="10" t="s">
        <v>19</v>
      </c>
      <c r="F223" s="7"/>
      <c r="G223" s="12" t="s">
        <v>20</v>
      </c>
      <c r="H223" s="7"/>
      <c r="I223" s="7"/>
      <c r="J223" s="7"/>
      <c r="K223" s="12" t="s">
        <v>132</v>
      </c>
      <c r="L223" s="12" t="str">
        <f t="shared" si="4"/>
        <v/>
      </c>
      <c r="M223" s="10" t="str">
        <f>""</f>
        <v/>
      </c>
    </row>
    <row r="224" spans="1:13" ht="12" customHeight="1" x14ac:dyDescent="0.25">
      <c r="A224" s="10" t="s">
        <v>452</v>
      </c>
      <c r="B224" s="10" t="s">
        <v>453</v>
      </c>
      <c r="C224" s="10" t="str">
        <f>"71632000-7"</f>
        <v>71632000-7</v>
      </c>
      <c r="D224" s="11">
        <v>2000</v>
      </c>
      <c r="E224" s="10" t="s">
        <v>19</v>
      </c>
      <c r="F224" s="7"/>
      <c r="G224" s="12" t="s">
        <v>20</v>
      </c>
      <c r="H224" s="7"/>
      <c r="I224" s="7"/>
      <c r="J224" s="7"/>
      <c r="K224" s="12" t="s">
        <v>132</v>
      </c>
      <c r="L224" s="12" t="str">
        <f t="shared" si="4"/>
        <v/>
      </c>
      <c r="M224" s="10" t="str">
        <f>""</f>
        <v/>
      </c>
    </row>
    <row r="225" spans="1:13" ht="12" customHeight="1" x14ac:dyDescent="0.25">
      <c r="A225" s="10" t="s">
        <v>454</v>
      </c>
      <c r="B225" s="10" t="s">
        <v>455</v>
      </c>
      <c r="C225" s="10" t="str">
        <f>"79212000-3"</f>
        <v>79212000-3</v>
      </c>
      <c r="D225" s="11">
        <v>80000</v>
      </c>
      <c r="E225" s="10" t="s">
        <v>19</v>
      </c>
      <c r="F225" s="7"/>
      <c r="G225" s="12" t="s">
        <v>20</v>
      </c>
      <c r="H225" s="7"/>
      <c r="I225" s="7"/>
      <c r="J225" s="7"/>
      <c r="K225" s="12" t="s">
        <v>132</v>
      </c>
      <c r="L225" s="12" t="str">
        <f t="shared" si="4"/>
        <v/>
      </c>
      <c r="M225" s="10" t="str">
        <f>""</f>
        <v/>
      </c>
    </row>
    <row r="226" spans="1:13" ht="12" customHeight="1" x14ac:dyDescent="0.25">
      <c r="A226" s="10" t="s">
        <v>456</v>
      </c>
      <c r="B226" s="10" t="s">
        <v>457</v>
      </c>
      <c r="C226" s="10" t="str">
        <f>"90910000-9"</f>
        <v>90910000-9</v>
      </c>
      <c r="D226" s="11">
        <v>97300</v>
      </c>
      <c r="E226" s="10" t="s">
        <v>19</v>
      </c>
      <c r="F226" s="7"/>
      <c r="G226" s="12" t="s">
        <v>20</v>
      </c>
      <c r="H226" s="7"/>
      <c r="I226" s="7"/>
      <c r="J226" s="7"/>
      <c r="K226" s="12" t="s">
        <v>132</v>
      </c>
      <c r="L226" s="12" t="str">
        <f t="shared" si="4"/>
        <v/>
      </c>
      <c r="M226" s="10" t="str">
        <f>""</f>
        <v/>
      </c>
    </row>
    <row r="227" spans="1:13" ht="12" customHeight="1" x14ac:dyDescent="0.25">
      <c r="A227" s="10" t="s">
        <v>458</v>
      </c>
      <c r="B227" s="10" t="s">
        <v>459</v>
      </c>
      <c r="C227" s="10" t="str">
        <f>"77310000-6"</f>
        <v>77310000-6</v>
      </c>
      <c r="D227" s="11">
        <v>6000</v>
      </c>
      <c r="E227" s="10" t="s">
        <v>19</v>
      </c>
      <c r="F227" s="7"/>
      <c r="G227" s="12" t="s">
        <v>20</v>
      </c>
      <c r="H227" s="7"/>
      <c r="I227" s="7"/>
      <c r="J227" s="7"/>
      <c r="K227" s="12" t="s">
        <v>132</v>
      </c>
      <c r="L227" s="12" t="str">
        <f t="shared" si="4"/>
        <v/>
      </c>
      <c r="M227" s="10" t="str">
        <f>""</f>
        <v/>
      </c>
    </row>
    <row r="228" spans="1:13" ht="12" customHeight="1" x14ac:dyDescent="0.25">
      <c r="A228" s="10" t="s">
        <v>460</v>
      </c>
      <c r="B228" s="10" t="s">
        <v>461</v>
      </c>
      <c r="C228" s="10" t="str">
        <f>"77314000-4"</f>
        <v>77314000-4</v>
      </c>
      <c r="D228" s="11">
        <v>30100</v>
      </c>
      <c r="E228" s="10" t="s">
        <v>19</v>
      </c>
      <c r="F228" s="7"/>
      <c r="G228" s="12" t="s">
        <v>20</v>
      </c>
      <c r="H228" s="7"/>
      <c r="I228" s="7"/>
      <c r="J228" s="7"/>
      <c r="K228" s="12" t="s">
        <v>132</v>
      </c>
      <c r="L228" s="12" t="str">
        <f t="shared" si="4"/>
        <v/>
      </c>
      <c r="M228" s="10" t="str">
        <f>""</f>
        <v/>
      </c>
    </row>
    <row r="229" spans="1:13" ht="12" customHeight="1" x14ac:dyDescent="0.25">
      <c r="A229" s="10" t="s">
        <v>462</v>
      </c>
      <c r="B229" s="10" t="s">
        <v>463</v>
      </c>
      <c r="C229" s="10" t="str">
        <f>"90470000-2"</f>
        <v>90470000-2</v>
      </c>
      <c r="D229" s="11">
        <v>30000</v>
      </c>
      <c r="E229" s="10" t="s">
        <v>19</v>
      </c>
      <c r="F229" s="7"/>
      <c r="G229" s="12" t="s">
        <v>20</v>
      </c>
      <c r="H229" s="7"/>
      <c r="I229" s="7"/>
      <c r="J229" s="7"/>
      <c r="K229" s="12" t="s">
        <v>132</v>
      </c>
      <c r="L229" s="12" t="str">
        <f t="shared" si="4"/>
        <v/>
      </c>
      <c r="M229" s="10" t="str">
        <f>""</f>
        <v/>
      </c>
    </row>
    <row r="230" spans="1:13" ht="12" customHeight="1" x14ac:dyDescent="0.25">
      <c r="A230" s="10" t="s">
        <v>464</v>
      </c>
      <c r="B230" s="10" t="s">
        <v>465</v>
      </c>
      <c r="C230" s="10" t="str">
        <f>"98310000-9"</f>
        <v>98310000-9</v>
      </c>
      <c r="D230" s="11">
        <v>10000</v>
      </c>
      <c r="E230" s="10" t="s">
        <v>19</v>
      </c>
      <c r="F230" s="7"/>
      <c r="G230" s="12" t="s">
        <v>20</v>
      </c>
      <c r="H230" s="7"/>
      <c r="I230" s="7"/>
      <c r="J230" s="7"/>
      <c r="K230" s="12" t="s">
        <v>132</v>
      </c>
      <c r="L230" s="12" t="str">
        <f t="shared" si="4"/>
        <v/>
      </c>
      <c r="M230" s="10" t="str">
        <f>""</f>
        <v/>
      </c>
    </row>
    <row r="231" spans="1:13" ht="12" customHeight="1" x14ac:dyDescent="0.25">
      <c r="A231" s="10" t="s">
        <v>466</v>
      </c>
      <c r="B231" s="10" t="s">
        <v>467</v>
      </c>
      <c r="C231" s="10" t="str">
        <f>"98394000-1"</f>
        <v>98394000-1</v>
      </c>
      <c r="D231" s="11">
        <v>40000</v>
      </c>
      <c r="E231" s="10" t="s">
        <v>19</v>
      </c>
      <c r="F231" s="7"/>
      <c r="G231" s="12" t="s">
        <v>20</v>
      </c>
      <c r="H231" s="7"/>
      <c r="I231" s="7"/>
      <c r="J231" s="7"/>
      <c r="K231" s="12" t="s">
        <v>132</v>
      </c>
      <c r="L231" s="12" t="str">
        <f t="shared" si="4"/>
        <v/>
      </c>
      <c r="M231" s="10" t="str">
        <f>""</f>
        <v/>
      </c>
    </row>
    <row r="232" spans="1:13" ht="12" customHeight="1" x14ac:dyDescent="0.25">
      <c r="A232" s="10" t="s">
        <v>468</v>
      </c>
      <c r="B232" s="10" t="s">
        <v>469</v>
      </c>
      <c r="C232" s="10" t="str">
        <f>"98395000-8"</f>
        <v>98395000-8</v>
      </c>
      <c r="D232" s="11">
        <v>10000</v>
      </c>
      <c r="E232" s="10" t="s">
        <v>19</v>
      </c>
      <c r="F232" s="7"/>
      <c r="G232" s="12" t="s">
        <v>20</v>
      </c>
      <c r="H232" s="7"/>
      <c r="I232" s="7"/>
      <c r="J232" s="7"/>
      <c r="K232" s="12" t="s">
        <v>132</v>
      </c>
      <c r="L232" s="12" t="str">
        <f t="shared" si="4"/>
        <v/>
      </c>
      <c r="M232" s="10" t="str">
        <f>""</f>
        <v/>
      </c>
    </row>
    <row r="233" spans="1:13" ht="12" customHeight="1" x14ac:dyDescent="0.25">
      <c r="A233" s="10" t="s">
        <v>470</v>
      </c>
      <c r="B233" s="10" t="s">
        <v>471</v>
      </c>
      <c r="C233" s="10" t="str">
        <f>"98395000-8"</f>
        <v>98395000-8</v>
      </c>
      <c r="D233" s="11">
        <v>44000</v>
      </c>
      <c r="E233" s="10" t="s">
        <v>19</v>
      </c>
      <c r="F233" s="7"/>
      <c r="G233" s="12" t="s">
        <v>20</v>
      </c>
      <c r="H233" s="7"/>
      <c r="I233" s="7"/>
      <c r="J233" s="7"/>
      <c r="K233" s="12" t="s">
        <v>132</v>
      </c>
      <c r="L233" s="12" t="str">
        <f t="shared" si="4"/>
        <v/>
      </c>
      <c r="M233" s="10" t="str">
        <f>""</f>
        <v/>
      </c>
    </row>
    <row r="234" spans="1:13" ht="12" customHeight="1" x14ac:dyDescent="0.25">
      <c r="A234" s="10" t="s">
        <v>472</v>
      </c>
      <c r="B234" s="10" t="s">
        <v>471</v>
      </c>
      <c r="C234" s="10" t="str">
        <f>"98395000-8"</f>
        <v>98395000-8</v>
      </c>
      <c r="D234" s="11">
        <v>100000</v>
      </c>
      <c r="E234" s="10" t="s">
        <v>19</v>
      </c>
      <c r="F234" s="7"/>
      <c r="G234" s="12" t="s">
        <v>20</v>
      </c>
      <c r="H234" s="7"/>
      <c r="I234" s="7"/>
      <c r="J234" s="7"/>
      <c r="K234" s="12" t="s">
        <v>132</v>
      </c>
      <c r="L234" s="12" t="str">
        <f t="shared" si="4"/>
        <v/>
      </c>
      <c r="M234" s="10" t="str">
        <f>""</f>
        <v/>
      </c>
    </row>
    <row r="235" spans="1:13" ht="12" customHeight="1" x14ac:dyDescent="0.25">
      <c r="A235" s="10" t="s">
        <v>473</v>
      </c>
      <c r="B235" s="10" t="s">
        <v>474</v>
      </c>
      <c r="C235" s="10" t="str">
        <f>"44411000-4"</f>
        <v>44411000-4</v>
      </c>
      <c r="D235" s="11">
        <v>15000</v>
      </c>
      <c r="E235" s="10" t="s">
        <v>19</v>
      </c>
      <c r="F235" s="7"/>
      <c r="G235" s="12" t="s">
        <v>20</v>
      </c>
      <c r="H235" s="7"/>
      <c r="I235" s="7"/>
      <c r="J235" s="7"/>
      <c r="K235" s="12" t="s">
        <v>21</v>
      </c>
      <c r="L235" s="12" t="str">
        <f t="shared" si="4"/>
        <v/>
      </c>
      <c r="M235" s="10" t="str">
        <f>""</f>
        <v/>
      </c>
    </row>
    <row r="236" spans="1:13" ht="12" customHeight="1" x14ac:dyDescent="0.25">
      <c r="A236" s="10" t="s">
        <v>475</v>
      </c>
      <c r="B236" s="10" t="s">
        <v>476</v>
      </c>
      <c r="C236" s="10" t="str">
        <f>"79416200-5"</f>
        <v>79416200-5</v>
      </c>
      <c r="D236" s="11">
        <v>199000</v>
      </c>
      <c r="E236" s="10" t="s">
        <v>19</v>
      </c>
      <c r="F236" s="7"/>
      <c r="G236" s="12" t="s">
        <v>20</v>
      </c>
      <c r="H236" s="7"/>
      <c r="I236" s="7"/>
      <c r="J236" s="7"/>
      <c r="K236" s="12" t="s">
        <v>132</v>
      </c>
      <c r="L236" s="12" t="str">
        <f t="shared" si="4"/>
        <v/>
      </c>
      <c r="M236" s="10" t="str">
        <f>""</f>
        <v/>
      </c>
    </row>
    <row r="237" spans="1:13" ht="12" customHeight="1" x14ac:dyDescent="0.25">
      <c r="A237" s="10" t="s">
        <v>477</v>
      </c>
      <c r="B237" s="10" t="s">
        <v>478</v>
      </c>
      <c r="C237" s="10" t="str">
        <f>"39531400-7"</f>
        <v>39531400-7</v>
      </c>
      <c r="D237" s="11">
        <v>32000</v>
      </c>
      <c r="E237" s="10" t="s">
        <v>19</v>
      </c>
      <c r="F237" s="7"/>
      <c r="G237" s="12" t="s">
        <v>20</v>
      </c>
      <c r="H237" s="7"/>
      <c r="I237" s="7"/>
      <c r="J237" s="7"/>
      <c r="K237" s="12" t="s">
        <v>21</v>
      </c>
      <c r="L237" s="12" t="str">
        <f t="shared" si="4"/>
        <v/>
      </c>
      <c r="M237" s="10" t="str">
        <f>""</f>
        <v/>
      </c>
    </row>
    <row r="238" spans="1:13" ht="12" customHeight="1" x14ac:dyDescent="0.25">
      <c r="A238" s="10" t="s">
        <v>479</v>
      </c>
      <c r="B238" s="10" t="s">
        <v>480</v>
      </c>
      <c r="C238" s="10" t="str">
        <f>"48611000-4"</f>
        <v>48611000-4</v>
      </c>
      <c r="D238" s="13">
        <v>500</v>
      </c>
      <c r="E238" s="10" t="s">
        <v>19</v>
      </c>
      <c r="F238" s="7"/>
      <c r="G238" s="12" t="s">
        <v>20</v>
      </c>
      <c r="H238" s="7"/>
      <c r="I238" s="7"/>
      <c r="J238" s="7"/>
      <c r="K238" s="12" t="s">
        <v>21</v>
      </c>
      <c r="L238" s="12" t="str">
        <f t="shared" si="4"/>
        <v/>
      </c>
      <c r="M238" s="10" t="str">
        <f>""</f>
        <v/>
      </c>
    </row>
    <row r="239" spans="1:13" ht="12" customHeight="1" x14ac:dyDescent="0.25">
      <c r="A239" s="10" t="s">
        <v>481</v>
      </c>
      <c r="B239" s="10" t="s">
        <v>482</v>
      </c>
      <c r="C239" s="10" t="str">
        <f>"44112200-0"</f>
        <v>44112200-0</v>
      </c>
      <c r="D239" s="11">
        <v>42800</v>
      </c>
      <c r="E239" s="10" t="s">
        <v>19</v>
      </c>
      <c r="F239" s="7"/>
      <c r="G239" s="12" t="s">
        <v>20</v>
      </c>
      <c r="H239" s="7"/>
      <c r="I239" s="7"/>
      <c r="J239" s="7"/>
      <c r="K239" s="12" t="s">
        <v>21</v>
      </c>
      <c r="L239" s="12" t="str">
        <f t="shared" si="4"/>
        <v/>
      </c>
      <c r="M239" s="10" t="str">
        <f>""</f>
        <v/>
      </c>
    </row>
    <row r="240" spans="1:13" ht="12" customHeight="1" x14ac:dyDescent="0.25">
      <c r="A240" s="10" t="s">
        <v>483</v>
      </c>
      <c r="B240" s="10" t="s">
        <v>484</v>
      </c>
      <c r="C240" s="10" t="str">
        <f>"90513000-6"</f>
        <v>90513000-6</v>
      </c>
      <c r="D240" s="11">
        <v>3500</v>
      </c>
      <c r="E240" s="10" t="s">
        <v>19</v>
      </c>
      <c r="F240" s="7"/>
      <c r="G240" s="12" t="s">
        <v>20</v>
      </c>
      <c r="H240" s="7"/>
      <c r="I240" s="7"/>
      <c r="J240" s="7"/>
      <c r="K240" s="12" t="s">
        <v>132</v>
      </c>
      <c r="L240" s="12" t="str">
        <f t="shared" si="4"/>
        <v/>
      </c>
      <c r="M240" s="10" t="str">
        <f>""</f>
        <v/>
      </c>
    </row>
    <row r="241" spans="1:13" ht="12" customHeight="1" x14ac:dyDescent="0.25">
      <c r="A241" s="10" t="s">
        <v>485</v>
      </c>
      <c r="B241" s="10" t="s">
        <v>486</v>
      </c>
      <c r="C241" s="10" t="str">
        <f>"30213200-7"</f>
        <v>30213200-7</v>
      </c>
      <c r="D241" s="11">
        <v>16000</v>
      </c>
      <c r="E241" s="10" t="s">
        <v>19</v>
      </c>
      <c r="F241" s="7"/>
      <c r="G241" s="12" t="s">
        <v>20</v>
      </c>
      <c r="H241" s="7"/>
      <c r="I241" s="7"/>
      <c r="J241" s="7"/>
      <c r="K241" s="12" t="s">
        <v>21</v>
      </c>
      <c r="L241" s="12" t="str">
        <f t="shared" si="4"/>
        <v/>
      </c>
      <c r="M241" s="10" t="str">
        <f>""</f>
        <v/>
      </c>
    </row>
    <row r="242" spans="1:13" ht="12" customHeight="1" x14ac:dyDescent="0.25">
      <c r="A242" s="10" t="s">
        <v>487</v>
      </c>
      <c r="B242" s="10" t="s">
        <v>488</v>
      </c>
      <c r="C242" s="10" t="str">
        <f>"38650000-6"</f>
        <v>38650000-6</v>
      </c>
      <c r="D242" s="11">
        <v>47000</v>
      </c>
      <c r="E242" s="10" t="s">
        <v>19</v>
      </c>
      <c r="F242" s="7"/>
      <c r="G242" s="12" t="s">
        <v>20</v>
      </c>
      <c r="H242" s="7"/>
      <c r="I242" s="7"/>
      <c r="J242" s="7"/>
      <c r="K242" s="12" t="s">
        <v>21</v>
      </c>
      <c r="L242" s="12" t="str">
        <f t="shared" si="4"/>
        <v/>
      </c>
      <c r="M242" s="10" t="str">
        <f>""</f>
        <v/>
      </c>
    </row>
    <row r="243" spans="1:13" ht="12" customHeight="1" x14ac:dyDescent="0.25">
      <c r="A243" s="10" t="s">
        <v>489</v>
      </c>
      <c r="B243" s="10" t="s">
        <v>490</v>
      </c>
      <c r="C243" s="10" t="str">
        <f>"45233150-5"</f>
        <v>45233150-5</v>
      </c>
      <c r="D243" s="11">
        <v>12000</v>
      </c>
      <c r="E243" s="10" t="s">
        <v>19</v>
      </c>
      <c r="F243" s="7"/>
      <c r="G243" s="12" t="s">
        <v>20</v>
      </c>
      <c r="H243" s="7"/>
      <c r="I243" s="7"/>
      <c r="J243" s="7"/>
      <c r="K243" s="12" t="s">
        <v>251</v>
      </c>
      <c r="L243" s="12" t="str">
        <f t="shared" si="4"/>
        <v/>
      </c>
      <c r="M243" s="10" t="str">
        <f>""</f>
        <v/>
      </c>
    </row>
    <row r="244" spans="1:13" ht="12" customHeight="1" x14ac:dyDescent="0.25">
      <c r="A244" s="10" t="s">
        <v>491</v>
      </c>
      <c r="B244" s="10" t="s">
        <v>492</v>
      </c>
      <c r="C244" s="10" t="str">
        <f>"45233222-1"</f>
        <v>45233222-1</v>
      </c>
      <c r="D244" s="11">
        <v>499000</v>
      </c>
      <c r="E244" s="10" t="s">
        <v>19</v>
      </c>
      <c r="F244" s="7"/>
      <c r="G244" s="12" t="s">
        <v>20</v>
      </c>
      <c r="H244" s="7"/>
      <c r="I244" s="7"/>
      <c r="J244" s="7"/>
      <c r="K244" s="12" t="s">
        <v>251</v>
      </c>
      <c r="L244" s="12" t="str">
        <f t="shared" si="4"/>
        <v/>
      </c>
      <c r="M244" s="10" t="str">
        <f>""</f>
        <v/>
      </c>
    </row>
    <row r="245" spans="1:13" ht="12" customHeight="1" x14ac:dyDescent="0.25">
      <c r="A245" s="10" t="s">
        <v>493</v>
      </c>
      <c r="B245" s="10" t="s">
        <v>494</v>
      </c>
      <c r="C245" s="10" t="str">
        <f>"39113000-7"</f>
        <v>39113000-7</v>
      </c>
      <c r="D245" s="11">
        <v>117000</v>
      </c>
      <c r="E245" s="10" t="s">
        <v>19</v>
      </c>
      <c r="F245" s="7"/>
      <c r="G245" s="12" t="s">
        <v>20</v>
      </c>
      <c r="H245" s="7"/>
      <c r="I245" s="7"/>
      <c r="J245" s="7"/>
      <c r="K245" s="12" t="s">
        <v>21</v>
      </c>
      <c r="L245" s="12" t="str">
        <f t="shared" si="4"/>
        <v/>
      </c>
      <c r="M245" s="10" t="str">
        <f>""</f>
        <v/>
      </c>
    </row>
    <row r="246" spans="1:13" ht="12" customHeight="1" x14ac:dyDescent="0.25">
      <c r="A246" s="10" t="s">
        <v>495</v>
      </c>
      <c r="B246" s="10" t="s">
        <v>496</v>
      </c>
      <c r="C246" s="10" t="str">
        <f>"72212732-9"</f>
        <v>72212732-9</v>
      </c>
      <c r="D246" s="11">
        <v>69000</v>
      </c>
      <c r="E246" s="10" t="s">
        <v>19</v>
      </c>
      <c r="F246" s="7"/>
      <c r="G246" s="12" t="s">
        <v>20</v>
      </c>
      <c r="H246" s="7"/>
      <c r="I246" s="7"/>
      <c r="J246" s="7"/>
      <c r="K246" s="12" t="s">
        <v>132</v>
      </c>
      <c r="L246" s="12" t="str">
        <f t="shared" si="4"/>
        <v/>
      </c>
      <c r="M246" s="10" t="str">
        <f>""</f>
        <v/>
      </c>
    </row>
    <row r="247" spans="1:13" ht="12" customHeight="1" x14ac:dyDescent="0.25">
      <c r="A247" s="10" t="s">
        <v>497</v>
      </c>
      <c r="B247" s="10" t="s">
        <v>498</v>
      </c>
      <c r="C247" s="10" t="str">
        <f>"30213000-5"</f>
        <v>30213000-5</v>
      </c>
      <c r="D247" s="11">
        <v>60000</v>
      </c>
      <c r="E247" s="10" t="s">
        <v>19</v>
      </c>
      <c r="F247" s="7"/>
      <c r="G247" s="12" t="s">
        <v>20</v>
      </c>
      <c r="H247" s="7"/>
      <c r="I247" s="7"/>
      <c r="J247" s="7"/>
      <c r="K247" s="12" t="s">
        <v>21</v>
      </c>
      <c r="L247" s="12" t="str">
        <f t="shared" si="4"/>
        <v/>
      </c>
      <c r="M247" s="10" t="str">
        <f>""</f>
        <v/>
      </c>
    </row>
    <row r="248" spans="1:13" ht="12" customHeight="1" x14ac:dyDescent="0.25">
      <c r="A248" s="10" t="s">
        <v>499</v>
      </c>
      <c r="B248" s="10" t="s">
        <v>500</v>
      </c>
      <c r="C248" s="10" t="str">
        <f>"39717200-3"</f>
        <v>39717200-3</v>
      </c>
      <c r="D248" s="11">
        <v>20100</v>
      </c>
      <c r="E248" s="10" t="s">
        <v>19</v>
      </c>
      <c r="F248" s="7"/>
      <c r="G248" s="12" t="s">
        <v>20</v>
      </c>
      <c r="H248" s="7"/>
      <c r="I248" s="7"/>
      <c r="J248" s="7"/>
      <c r="K248" s="12" t="s">
        <v>21</v>
      </c>
      <c r="L248" s="12" t="str">
        <f t="shared" si="4"/>
        <v/>
      </c>
      <c r="M248" s="10" t="str">
        <f>""</f>
        <v/>
      </c>
    </row>
    <row r="249" spans="1:13" ht="12" customHeight="1" x14ac:dyDescent="0.25">
      <c r="A249" s="10" t="s">
        <v>501</v>
      </c>
      <c r="B249" s="10" t="s">
        <v>502</v>
      </c>
      <c r="C249" s="10" t="str">
        <f>"44423450-0"</f>
        <v>44423450-0</v>
      </c>
      <c r="D249" s="11">
        <v>40000</v>
      </c>
      <c r="E249" s="10" t="s">
        <v>19</v>
      </c>
      <c r="F249" s="7"/>
      <c r="G249" s="12" t="s">
        <v>20</v>
      </c>
      <c r="H249" s="7"/>
      <c r="I249" s="7"/>
      <c r="J249" s="7"/>
      <c r="K249" s="12" t="s">
        <v>21</v>
      </c>
      <c r="L249" s="12" t="str">
        <f t="shared" si="4"/>
        <v/>
      </c>
      <c r="M249" s="10" t="str">
        <f>""</f>
        <v/>
      </c>
    </row>
    <row r="250" spans="1:13" ht="12" customHeight="1" x14ac:dyDescent="0.25">
      <c r="A250" s="10" t="s">
        <v>503</v>
      </c>
      <c r="B250" s="10" t="s">
        <v>504</v>
      </c>
      <c r="C250" s="10" t="str">
        <f>"44423450-0"</f>
        <v>44423450-0</v>
      </c>
      <c r="D250" s="11">
        <v>60000</v>
      </c>
      <c r="E250" s="10" t="s">
        <v>19</v>
      </c>
      <c r="F250" s="7"/>
      <c r="G250" s="12" t="s">
        <v>20</v>
      </c>
      <c r="H250" s="7"/>
      <c r="I250" s="7"/>
      <c r="J250" s="7"/>
      <c r="K250" s="12" t="s">
        <v>21</v>
      </c>
      <c r="L250" s="12" t="str">
        <f t="shared" si="4"/>
        <v/>
      </c>
      <c r="M250" s="10" t="str">
        <f>""</f>
        <v/>
      </c>
    </row>
    <row r="251" spans="1:13" ht="12" customHeight="1" x14ac:dyDescent="0.25">
      <c r="A251" s="10" t="s">
        <v>505</v>
      </c>
      <c r="B251" s="10" t="s">
        <v>506</v>
      </c>
      <c r="C251" s="10" t="str">
        <f>"71242000-6"</f>
        <v>71242000-6</v>
      </c>
      <c r="D251" s="11">
        <v>150000</v>
      </c>
      <c r="E251" s="10" t="s">
        <v>19</v>
      </c>
      <c r="F251" s="7"/>
      <c r="G251" s="12" t="s">
        <v>20</v>
      </c>
      <c r="H251" s="7"/>
      <c r="I251" s="7"/>
      <c r="J251" s="7"/>
      <c r="K251" s="12" t="s">
        <v>132</v>
      </c>
      <c r="L251" s="12" t="str">
        <f t="shared" si="4"/>
        <v/>
      </c>
      <c r="M251" s="10" t="str">
        <f>""</f>
        <v/>
      </c>
    </row>
    <row r="252" spans="1:13" ht="12" customHeight="1" x14ac:dyDescent="0.25">
      <c r="A252" s="10" t="s">
        <v>507</v>
      </c>
      <c r="B252" s="10" t="s">
        <v>508</v>
      </c>
      <c r="C252" s="10" t="str">
        <f>"71320000-7"</f>
        <v>71320000-7</v>
      </c>
      <c r="D252" s="11">
        <v>15000</v>
      </c>
      <c r="E252" s="10" t="s">
        <v>19</v>
      </c>
      <c r="F252" s="7"/>
      <c r="G252" s="12" t="s">
        <v>20</v>
      </c>
      <c r="H252" s="7"/>
      <c r="I252" s="7"/>
      <c r="J252" s="7"/>
      <c r="K252" s="12" t="s">
        <v>132</v>
      </c>
      <c r="L252" s="12" t="str">
        <f t="shared" si="4"/>
        <v/>
      </c>
      <c r="M252" s="10" t="str">
        <f>""</f>
        <v/>
      </c>
    </row>
    <row r="253" spans="1:13" ht="12" customHeight="1" x14ac:dyDescent="0.25">
      <c r="A253" s="10" t="s">
        <v>509</v>
      </c>
      <c r="B253" s="10" t="s">
        <v>510</v>
      </c>
      <c r="C253" s="10" t="str">
        <f>"71320000-7"</f>
        <v>71320000-7</v>
      </c>
      <c r="D253" s="11">
        <v>10000</v>
      </c>
      <c r="E253" s="10" t="s">
        <v>19</v>
      </c>
      <c r="F253" s="7"/>
      <c r="G253" s="12" t="s">
        <v>20</v>
      </c>
      <c r="H253" s="7"/>
      <c r="I253" s="7"/>
      <c r="J253" s="7"/>
      <c r="K253" s="12" t="s">
        <v>132</v>
      </c>
      <c r="L253" s="12" t="str">
        <f t="shared" si="4"/>
        <v/>
      </c>
      <c r="M253" s="10" t="str">
        <f>""</f>
        <v/>
      </c>
    </row>
    <row r="254" spans="1:13" ht="12" customHeight="1" x14ac:dyDescent="0.25">
      <c r="A254" s="10" t="s">
        <v>511</v>
      </c>
      <c r="B254" s="10" t="s">
        <v>512</v>
      </c>
      <c r="C254" s="10" t="str">
        <f>"71320000-7"</f>
        <v>71320000-7</v>
      </c>
      <c r="D254" s="11">
        <v>30000</v>
      </c>
      <c r="E254" s="10" t="s">
        <v>19</v>
      </c>
      <c r="F254" s="7"/>
      <c r="G254" s="12" t="s">
        <v>20</v>
      </c>
      <c r="H254" s="7"/>
      <c r="I254" s="7"/>
      <c r="J254" s="7"/>
      <c r="K254" s="12" t="s">
        <v>132</v>
      </c>
      <c r="L254" s="12" t="str">
        <f t="shared" si="4"/>
        <v/>
      </c>
      <c r="M254" s="10" t="str">
        <f>""</f>
        <v/>
      </c>
    </row>
    <row r="255" spans="1:13" ht="12" customHeight="1" x14ac:dyDescent="0.25">
      <c r="A255" s="10" t="s">
        <v>513</v>
      </c>
      <c r="B255" s="10" t="s">
        <v>514</v>
      </c>
      <c r="C255" s="10" t="str">
        <f>"71320000-7"</f>
        <v>71320000-7</v>
      </c>
      <c r="D255" s="11">
        <v>20000</v>
      </c>
      <c r="E255" s="10" t="s">
        <v>19</v>
      </c>
      <c r="F255" s="7"/>
      <c r="G255" s="12" t="s">
        <v>20</v>
      </c>
      <c r="H255" s="7"/>
      <c r="I255" s="7"/>
      <c r="J255" s="7"/>
      <c r="K255" s="12" t="s">
        <v>132</v>
      </c>
      <c r="L255" s="12" t="str">
        <f t="shared" si="4"/>
        <v/>
      </c>
      <c r="M255" s="10" t="str">
        <f>""</f>
        <v/>
      </c>
    </row>
    <row r="256" spans="1:13" ht="12" customHeight="1" x14ac:dyDescent="0.25">
      <c r="A256" s="10" t="s">
        <v>515</v>
      </c>
      <c r="B256" s="10" t="s">
        <v>516</v>
      </c>
      <c r="C256" s="10" t="str">
        <f>"31500000-1"</f>
        <v>31500000-1</v>
      </c>
      <c r="D256" s="11">
        <v>198000</v>
      </c>
      <c r="E256" s="10" t="s">
        <v>19</v>
      </c>
      <c r="F256" s="7"/>
      <c r="G256" s="12" t="s">
        <v>20</v>
      </c>
      <c r="H256" s="7"/>
      <c r="I256" s="7"/>
      <c r="J256" s="7"/>
      <c r="K256" s="12" t="s">
        <v>21</v>
      </c>
      <c r="L256" s="12" t="str">
        <f t="shared" si="4"/>
        <v/>
      </c>
      <c r="M256" s="10" t="str">
        <f>""</f>
        <v/>
      </c>
    </row>
    <row r="257" spans="1:13" ht="12" customHeight="1" x14ac:dyDescent="0.25">
      <c r="A257" s="10" t="s">
        <v>517</v>
      </c>
      <c r="B257" s="10" t="s">
        <v>518</v>
      </c>
      <c r="C257" s="10" t="str">
        <f>"45316000-5"</f>
        <v>45316000-5</v>
      </c>
      <c r="D257" s="11">
        <v>50000</v>
      </c>
      <c r="E257" s="10" t="s">
        <v>19</v>
      </c>
      <c r="F257" s="7"/>
      <c r="G257" s="12" t="s">
        <v>20</v>
      </c>
      <c r="H257" s="7"/>
      <c r="I257" s="7"/>
      <c r="J257" s="7"/>
      <c r="K257" s="12" t="s">
        <v>251</v>
      </c>
      <c r="L257" s="12" t="str">
        <f t="shared" si="4"/>
        <v/>
      </c>
      <c r="M257" s="10" t="str">
        <f>""</f>
        <v/>
      </c>
    </row>
    <row r="258" spans="1:13" ht="12" customHeight="1" x14ac:dyDescent="0.25">
      <c r="A258" s="10" t="s">
        <v>519</v>
      </c>
      <c r="B258" s="10" t="s">
        <v>520</v>
      </c>
      <c r="C258" s="10" t="str">
        <f>"45223210-1"</f>
        <v>45223210-1</v>
      </c>
      <c r="D258" s="11">
        <v>100000</v>
      </c>
      <c r="E258" s="10" t="s">
        <v>19</v>
      </c>
      <c r="F258" s="7"/>
      <c r="G258" s="12" t="s">
        <v>20</v>
      </c>
      <c r="H258" s="7"/>
      <c r="I258" s="7"/>
      <c r="J258" s="7"/>
      <c r="K258" s="12" t="s">
        <v>251</v>
      </c>
      <c r="L258" s="12" t="str">
        <f t="shared" si="4"/>
        <v/>
      </c>
      <c r="M258" s="10" t="str">
        <f>""</f>
        <v/>
      </c>
    </row>
    <row r="259" spans="1:13" ht="12" customHeight="1" x14ac:dyDescent="0.25">
      <c r="A259" s="10" t="s">
        <v>521</v>
      </c>
      <c r="B259" s="10" t="s">
        <v>522</v>
      </c>
      <c r="C259" s="10" t="str">
        <f>"70130000-1"</f>
        <v>70130000-1</v>
      </c>
      <c r="D259" s="11">
        <v>3880</v>
      </c>
      <c r="E259" s="10" t="s">
        <v>19</v>
      </c>
      <c r="F259" s="7"/>
      <c r="G259" s="12" t="s">
        <v>20</v>
      </c>
      <c r="H259" s="7"/>
      <c r="I259" s="7"/>
      <c r="J259" s="7"/>
      <c r="K259" s="12" t="s">
        <v>132</v>
      </c>
      <c r="L259" s="12" t="str">
        <f t="shared" si="4"/>
        <v/>
      </c>
      <c r="M259" s="10" t="str">
        <f>""</f>
        <v/>
      </c>
    </row>
    <row r="260" spans="1:13" ht="12" customHeight="1" x14ac:dyDescent="0.25">
      <c r="A260" s="10" t="s">
        <v>523</v>
      </c>
      <c r="B260" s="10" t="s">
        <v>524</v>
      </c>
      <c r="C260" s="10" t="str">
        <f>"32252100-5"</f>
        <v>32252100-5</v>
      </c>
      <c r="D260" s="11">
        <v>8000</v>
      </c>
      <c r="E260" s="10" t="s">
        <v>19</v>
      </c>
      <c r="F260" s="7"/>
      <c r="G260" s="12" t="s">
        <v>20</v>
      </c>
      <c r="H260" s="7"/>
      <c r="I260" s="7"/>
      <c r="J260" s="7"/>
      <c r="K260" s="12" t="s">
        <v>21</v>
      </c>
      <c r="L260" s="12" t="str">
        <f t="shared" si="4"/>
        <v/>
      </c>
      <c r="M260" s="10" t="str">
        <f>""</f>
        <v/>
      </c>
    </row>
    <row r="261" spans="1:13" ht="12" customHeight="1" x14ac:dyDescent="0.25">
      <c r="A261" s="10" t="s">
        <v>525</v>
      </c>
      <c r="B261" s="10" t="s">
        <v>526</v>
      </c>
      <c r="C261" s="10" t="str">
        <f>"45453100-8"</f>
        <v>45453100-8</v>
      </c>
      <c r="D261" s="11">
        <v>300000</v>
      </c>
      <c r="E261" s="10" t="s">
        <v>19</v>
      </c>
      <c r="F261" s="7"/>
      <c r="G261" s="12" t="s">
        <v>20</v>
      </c>
      <c r="H261" s="7"/>
      <c r="I261" s="7"/>
      <c r="J261" s="7"/>
      <c r="K261" s="12" t="s">
        <v>251</v>
      </c>
      <c r="L261" s="12" t="str">
        <f t="shared" si="4"/>
        <v/>
      </c>
      <c r="M261" s="10" t="str">
        <f>""</f>
        <v/>
      </c>
    </row>
    <row r="262" spans="1:13" ht="12" customHeight="1" x14ac:dyDescent="0.25">
      <c r="A262" s="10" t="s">
        <v>527</v>
      </c>
      <c r="B262" s="10" t="s">
        <v>528</v>
      </c>
      <c r="C262" s="10" t="str">
        <f>"16311000-8"</f>
        <v>16311000-8</v>
      </c>
      <c r="D262" s="11">
        <v>16000</v>
      </c>
      <c r="E262" s="10" t="s">
        <v>19</v>
      </c>
      <c r="F262" s="7"/>
      <c r="G262" s="12" t="s">
        <v>20</v>
      </c>
      <c r="H262" s="7"/>
      <c r="I262" s="7"/>
      <c r="J262" s="7"/>
      <c r="K262" s="12" t="s">
        <v>21</v>
      </c>
      <c r="L262" s="12" t="str">
        <f t="shared" si="4"/>
        <v/>
      </c>
      <c r="M262" s="10" t="str">
        <f>""</f>
        <v/>
      </c>
    </row>
    <row r="263" spans="1:13" ht="12" customHeight="1" x14ac:dyDescent="0.25">
      <c r="A263" s="10" t="s">
        <v>529</v>
      </c>
      <c r="B263" s="10" t="s">
        <v>530</v>
      </c>
      <c r="C263" s="10" t="str">
        <f>"79212000-3"</f>
        <v>79212000-3</v>
      </c>
      <c r="D263" s="11">
        <v>6000</v>
      </c>
      <c r="E263" s="10" t="s">
        <v>19</v>
      </c>
      <c r="F263" s="7"/>
      <c r="G263" s="12" t="s">
        <v>20</v>
      </c>
      <c r="H263" s="7"/>
      <c r="I263" s="7"/>
      <c r="J263" s="7"/>
      <c r="K263" s="12" t="s">
        <v>132</v>
      </c>
      <c r="L263" s="12" t="str">
        <f t="shared" si="4"/>
        <v/>
      </c>
      <c r="M263" s="10" t="str">
        <f>""</f>
        <v/>
      </c>
    </row>
    <row r="264" spans="1:13" ht="12" customHeight="1" x14ac:dyDescent="0.25">
      <c r="A264" s="10" t="s">
        <v>531</v>
      </c>
      <c r="B264" s="10" t="s">
        <v>532</v>
      </c>
      <c r="C264" s="10" t="str">
        <f>"30191400-8"</f>
        <v>30191400-8</v>
      </c>
      <c r="D264" s="11">
        <v>2100</v>
      </c>
      <c r="E264" s="10" t="s">
        <v>19</v>
      </c>
      <c r="F264" s="7"/>
      <c r="G264" s="12" t="s">
        <v>20</v>
      </c>
      <c r="H264" s="7"/>
      <c r="I264" s="7"/>
      <c r="J264" s="7"/>
      <c r="K264" s="12" t="s">
        <v>21</v>
      </c>
      <c r="L264" s="12" t="str">
        <f t="shared" ref="L264:L299" si="5">CONCATENATE("")</f>
        <v/>
      </c>
      <c r="M264" s="10" t="str">
        <f>""</f>
        <v/>
      </c>
    </row>
    <row r="265" spans="1:13" ht="12" customHeight="1" x14ac:dyDescent="0.25">
      <c r="A265" s="10" t="s">
        <v>533</v>
      </c>
      <c r="B265" s="10" t="s">
        <v>534</v>
      </c>
      <c r="C265" s="10" t="str">
        <f>"71355000-1"</f>
        <v>71355000-1</v>
      </c>
      <c r="D265" s="11">
        <v>17000</v>
      </c>
      <c r="E265" s="10" t="s">
        <v>19</v>
      </c>
      <c r="F265" s="7"/>
      <c r="G265" s="12" t="s">
        <v>20</v>
      </c>
      <c r="H265" s="7"/>
      <c r="I265" s="7"/>
      <c r="J265" s="7"/>
      <c r="K265" s="12" t="s">
        <v>132</v>
      </c>
      <c r="L265" s="12" t="str">
        <f t="shared" si="5"/>
        <v/>
      </c>
      <c r="M265" s="10" t="str">
        <f>""</f>
        <v/>
      </c>
    </row>
    <row r="266" spans="1:13" ht="12" customHeight="1" x14ac:dyDescent="0.25">
      <c r="A266" s="10" t="s">
        <v>535</v>
      </c>
      <c r="B266" s="10" t="s">
        <v>536</v>
      </c>
      <c r="C266" s="10" t="str">
        <f>"32351300-1"</f>
        <v>32351300-1</v>
      </c>
      <c r="D266" s="11">
        <v>7000</v>
      </c>
      <c r="E266" s="10" t="s">
        <v>19</v>
      </c>
      <c r="F266" s="7"/>
      <c r="G266" s="12" t="s">
        <v>20</v>
      </c>
      <c r="H266" s="7"/>
      <c r="I266" s="7"/>
      <c r="J266" s="7"/>
      <c r="K266" s="12" t="s">
        <v>21</v>
      </c>
      <c r="L266" s="12" t="str">
        <f t="shared" si="5"/>
        <v/>
      </c>
      <c r="M266" s="10" t="str">
        <f>""</f>
        <v/>
      </c>
    </row>
    <row r="267" spans="1:13" ht="12" customHeight="1" x14ac:dyDescent="0.25">
      <c r="A267" s="10" t="s">
        <v>537</v>
      </c>
      <c r="B267" s="10" t="s">
        <v>538</v>
      </c>
      <c r="C267" s="10" t="str">
        <f>"50530000-9"</f>
        <v>50530000-9</v>
      </c>
      <c r="D267" s="11">
        <v>19000</v>
      </c>
      <c r="E267" s="10" t="s">
        <v>19</v>
      </c>
      <c r="F267" s="7"/>
      <c r="G267" s="12" t="s">
        <v>20</v>
      </c>
      <c r="H267" s="7"/>
      <c r="I267" s="7"/>
      <c r="J267" s="7"/>
      <c r="K267" s="12" t="s">
        <v>132</v>
      </c>
      <c r="L267" s="12" t="str">
        <f t="shared" si="5"/>
        <v/>
      </c>
      <c r="M267" s="10" t="str">
        <f>""</f>
        <v/>
      </c>
    </row>
    <row r="268" spans="1:13" ht="12" customHeight="1" x14ac:dyDescent="0.25">
      <c r="A268" s="10" t="s">
        <v>539</v>
      </c>
      <c r="B268" s="10" t="s">
        <v>540</v>
      </c>
      <c r="C268" s="10" t="str">
        <f>"50413000-3"</f>
        <v>50413000-3</v>
      </c>
      <c r="D268" s="11">
        <v>2000</v>
      </c>
      <c r="E268" s="10" t="s">
        <v>19</v>
      </c>
      <c r="F268" s="7"/>
      <c r="G268" s="12" t="s">
        <v>20</v>
      </c>
      <c r="H268" s="7"/>
      <c r="I268" s="7"/>
      <c r="J268" s="7"/>
      <c r="K268" s="12" t="s">
        <v>132</v>
      </c>
      <c r="L268" s="12" t="str">
        <f t="shared" si="5"/>
        <v/>
      </c>
      <c r="M268" s="10" t="str">
        <f>""</f>
        <v/>
      </c>
    </row>
    <row r="269" spans="1:13" ht="12" customHeight="1" x14ac:dyDescent="0.25">
      <c r="A269" s="10" t="s">
        <v>541</v>
      </c>
      <c r="B269" s="10" t="s">
        <v>542</v>
      </c>
      <c r="C269" s="10" t="str">
        <f>"50413000-3"</f>
        <v>50413000-3</v>
      </c>
      <c r="D269" s="11">
        <v>50500</v>
      </c>
      <c r="E269" s="10" t="s">
        <v>19</v>
      </c>
      <c r="F269" s="7"/>
      <c r="G269" s="12" t="s">
        <v>20</v>
      </c>
      <c r="H269" s="7"/>
      <c r="I269" s="7"/>
      <c r="J269" s="7"/>
      <c r="K269" s="12" t="s">
        <v>132</v>
      </c>
      <c r="L269" s="12" t="str">
        <f t="shared" si="5"/>
        <v/>
      </c>
      <c r="M269" s="10" t="str">
        <f>""</f>
        <v/>
      </c>
    </row>
    <row r="270" spans="1:13" ht="12" customHeight="1" x14ac:dyDescent="0.25">
      <c r="A270" s="10" t="s">
        <v>543</v>
      </c>
      <c r="B270" s="10" t="s">
        <v>544</v>
      </c>
      <c r="C270" s="10" t="str">
        <f>"72316000-3"</f>
        <v>72316000-3</v>
      </c>
      <c r="D270" s="11">
        <v>10000</v>
      </c>
      <c r="E270" s="10" t="s">
        <v>19</v>
      </c>
      <c r="F270" s="7"/>
      <c r="G270" s="12" t="s">
        <v>20</v>
      </c>
      <c r="H270" s="7"/>
      <c r="I270" s="7"/>
      <c r="J270" s="7"/>
      <c r="K270" s="12" t="s">
        <v>132</v>
      </c>
      <c r="L270" s="12" t="str">
        <f t="shared" si="5"/>
        <v/>
      </c>
      <c r="M270" s="10" t="str">
        <f>""</f>
        <v/>
      </c>
    </row>
    <row r="271" spans="1:13" ht="12" customHeight="1" x14ac:dyDescent="0.25">
      <c r="A271" s="10" t="s">
        <v>545</v>
      </c>
      <c r="B271" s="10" t="s">
        <v>546</v>
      </c>
      <c r="C271" s="10" t="str">
        <f>"30213300-8"</f>
        <v>30213300-8</v>
      </c>
      <c r="D271" s="11">
        <v>16000</v>
      </c>
      <c r="E271" s="10" t="s">
        <v>19</v>
      </c>
      <c r="F271" s="7"/>
      <c r="G271" s="12" t="s">
        <v>20</v>
      </c>
      <c r="H271" s="7"/>
      <c r="I271" s="7"/>
      <c r="J271" s="7"/>
      <c r="K271" s="12" t="s">
        <v>21</v>
      </c>
      <c r="L271" s="12" t="str">
        <f t="shared" si="5"/>
        <v/>
      </c>
      <c r="M271" s="10" t="str">
        <f>""</f>
        <v/>
      </c>
    </row>
    <row r="272" spans="1:13" ht="12" customHeight="1" x14ac:dyDescent="0.25">
      <c r="A272" s="10" t="s">
        <v>547</v>
      </c>
      <c r="B272" s="10" t="s">
        <v>548</v>
      </c>
      <c r="C272" s="10" t="str">
        <f>"72316000-3"</f>
        <v>72316000-3</v>
      </c>
      <c r="D272" s="11">
        <v>7500</v>
      </c>
      <c r="E272" s="10" t="s">
        <v>19</v>
      </c>
      <c r="F272" s="7"/>
      <c r="G272" s="12" t="s">
        <v>20</v>
      </c>
      <c r="H272" s="7"/>
      <c r="I272" s="7"/>
      <c r="J272" s="7"/>
      <c r="K272" s="12" t="s">
        <v>132</v>
      </c>
      <c r="L272" s="12" t="str">
        <f t="shared" si="5"/>
        <v/>
      </c>
      <c r="M272" s="10" t="str">
        <f>""</f>
        <v/>
      </c>
    </row>
    <row r="273" spans="1:13" ht="12" customHeight="1" x14ac:dyDescent="0.25">
      <c r="A273" s="10" t="s">
        <v>549</v>
      </c>
      <c r="B273" s="10" t="s">
        <v>550</v>
      </c>
      <c r="C273" s="10" t="str">
        <f>"43812000-8"</f>
        <v>43812000-8</v>
      </c>
      <c r="D273" s="11">
        <v>10000</v>
      </c>
      <c r="E273" s="10" t="s">
        <v>19</v>
      </c>
      <c r="F273" s="7"/>
      <c r="G273" s="12" t="s">
        <v>20</v>
      </c>
      <c r="H273" s="7"/>
      <c r="I273" s="7"/>
      <c r="J273" s="7"/>
      <c r="K273" s="12" t="s">
        <v>21</v>
      </c>
      <c r="L273" s="12" t="str">
        <f t="shared" si="5"/>
        <v/>
      </c>
      <c r="M273" s="10" t="str">
        <f>""</f>
        <v/>
      </c>
    </row>
    <row r="274" spans="1:13" ht="12" customHeight="1" x14ac:dyDescent="0.25">
      <c r="A274" s="10" t="s">
        <v>551</v>
      </c>
      <c r="B274" s="10" t="s">
        <v>552</v>
      </c>
      <c r="C274" s="10" t="str">
        <f>"79932000-6"</f>
        <v>79932000-6</v>
      </c>
      <c r="D274" s="11">
        <v>134000</v>
      </c>
      <c r="E274" s="10" t="s">
        <v>19</v>
      </c>
      <c r="F274" s="7"/>
      <c r="G274" s="12" t="s">
        <v>20</v>
      </c>
      <c r="H274" s="7"/>
      <c r="I274" s="7"/>
      <c r="J274" s="7"/>
      <c r="K274" s="12" t="s">
        <v>132</v>
      </c>
      <c r="L274" s="12" t="str">
        <f t="shared" si="5"/>
        <v/>
      </c>
      <c r="M274" s="10" t="str">
        <f>""</f>
        <v/>
      </c>
    </row>
    <row r="275" spans="1:13" ht="12" customHeight="1" x14ac:dyDescent="0.25">
      <c r="A275" s="10" t="s">
        <v>553</v>
      </c>
      <c r="B275" s="10" t="s">
        <v>554</v>
      </c>
      <c r="C275" s="10" t="str">
        <f>"39711130-9"</f>
        <v>39711130-9</v>
      </c>
      <c r="D275" s="11">
        <v>4600</v>
      </c>
      <c r="E275" s="10" t="s">
        <v>19</v>
      </c>
      <c r="F275" s="7"/>
      <c r="G275" s="12" t="s">
        <v>20</v>
      </c>
      <c r="H275" s="7"/>
      <c r="I275" s="7"/>
      <c r="J275" s="7"/>
      <c r="K275" s="12" t="s">
        <v>21</v>
      </c>
      <c r="L275" s="12" t="str">
        <f t="shared" si="5"/>
        <v/>
      </c>
      <c r="M275" s="10" t="str">
        <f>""</f>
        <v/>
      </c>
    </row>
    <row r="276" spans="1:13" ht="12" customHeight="1" x14ac:dyDescent="0.25">
      <c r="A276" s="10" t="s">
        <v>555</v>
      </c>
      <c r="B276" s="10" t="s">
        <v>556</v>
      </c>
      <c r="C276" s="10" t="str">
        <f>"79211120-3"</f>
        <v>79211120-3</v>
      </c>
      <c r="D276" s="11">
        <v>2000</v>
      </c>
      <c r="E276" s="10" t="s">
        <v>19</v>
      </c>
      <c r="F276" s="7"/>
      <c r="G276" s="12" t="s">
        <v>20</v>
      </c>
      <c r="H276" s="7"/>
      <c r="I276" s="7"/>
      <c r="J276" s="7"/>
      <c r="K276" s="12" t="s">
        <v>132</v>
      </c>
      <c r="L276" s="12" t="str">
        <f t="shared" si="5"/>
        <v/>
      </c>
      <c r="M276" s="10" t="str">
        <f>""</f>
        <v/>
      </c>
    </row>
    <row r="277" spans="1:13" ht="12" customHeight="1" x14ac:dyDescent="0.25">
      <c r="A277" s="10" t="s">
        <v>557</v>
      </c>
      <c r="B277" s="10" t="s">
        <v>558</v>
      </c>
      <c r="C277" s="10" t="str">
        <f>"45311200-2"</f>
        <v>45311200-2</v>
      </c>
      <c r="D277" s="11">
        <v>184000</v>
      </c>
      <c r="E277" s="10" t="s">
        <v>19</v>
      </c>
      <c r="F277" s="7"/>
      <c r="G277" s="12" t="s">
        <v>20</v>
      </c>
      <c r="H277" s="7"/>
      <c r="I277" s="7"/>
      <c r="J277" s="7"/>
      <c r="K277" s="12" t="s">
        <v>251</v>
      </c>
      <c r="L277" s="12" t="str">
        <f t="shared" si="5"/>
        <v/>
      </c>
      <c r="M277" s="10" t="str">
        <f>""</f>
        <v/>
      </c>
    </row>
    <row r="278" spans="1:13" ht="12" customHeight="1" x14ac:dyDescent="0.25">
      <c r="A278" s="10" t="s">
        <v>559</v>
      </c>
      <c r="B278" s="10" t="s">
        <v>560</v>
      </c>
      <c r="C278" s="10" t="str">
        <f>"22610000-9"</f>
        <v>22610000-9</v>
      </c>
      <c r="D278" s="11">
        <v>11000</v>
      </c>
      <c r="E278" s="10" t="s">
        <v>19</v>
      </c>
      <c r="F278" s="7"/>
      <c r="G278" s="12" t="s">
        <v>20</v>
      </c>
      <c r="H278" s="7"/>
      <c r="I278" s="7"/>
      <c r="J278" s="7"/>
      <c r="K278" s="12" t="s">
        <v>21</v>
      </c>
      <c r="L278" s="12" t="str">
        <f t="shared" si="5"/>
        <v/>
      </c>
      <c r="M278" s="10" t="str">
        <f>""</f>
        <v/>
      </c>
    </row>
    <row r="279" spans="1:13" ht="12" customHeight="1" x14ac:dyDescent="0.25">
      <c r="A279" s="10" t="s">
        <v>561</v>
      </c>
      <c r="B279" s="10" t="s">
        <v>562</v>
      </c>
      <c r="C279" s="10" t="str">
        <f>"79824000-6"</f>
        <v>79824000-6</v>
      </c>
      <c r="D279" s="11">
        <v>19800</v>
      </c>
      <c r="E279" s="10" t="s">
        <v>19</v>
      </c>
      <c r="F279" s="7"/>
      <c r="G279" s="12" t="s">
        <v>20</v>
      </c>
      <c r="H279" s="7"/>
      <c r="I279" s="7"/>
      <c r="J279" s="7"/>
      <c r="K279" s="12" t="s">
        <v>132</v>
      </c>
      <c r="L279" s="12" t="str">
        <f t="shared" si="5"/>
        <v/>
      </c>
      <c r="M279" s="10" t="str">
        <f>""</f>
        <v/>
      </c>
    </row>
    <row r="280" spans="1:13" ht="12" customHeight="1" x14ac:dyDescent="0.25">
      <c r="A280" s="10" t="s">
        <v>563</v>
      </c>
      <c r="B280" s="10" t="s">
        <v>564</v>
      </c>
      <c r="C280" s="10" t="str">
        <f>"79821100-6"</f>
        <v>79821100-6</v>
      </c>
      <c r="D280" s="11">
        <v>2000</v>
      </c>
      <c r="E280" s="10" t="s">
        <v>19</v>
      </c>
      <c r="F280" s="7"/>
      <c r="G280" s="12" t="s">
        <v>20</v>
      </c>
      <c r="H280" s="7"/>
      <c r="I280" s="7"/>
      <c r="J280" s="7"/>
      <c r="K280" s="12" t="s">
        <v>132</v>
      </c>
      <c r="L280" s="12" t="str">
        <f t="shared" si="5"/>
        <v/>
      </c>
      <c r="M280" s="10" t="str">
        <f>""</f>
        <v/>
      </c>
    </row>
    <row r="281" spans="1:13" ht="12" customHeight="1" x14ac:dyDescent="0.25">
      <c r="A281" s="10" t="s">
        <v>565</v>
      </c>
      <c r="B281" s="10" t="s">
        <v>566</v>
      </c>
      <c r="C281" s="10" t="str">
        <f>"44613800-8"</f>
        <v>44613800-8</v>
      </c>
      <c r="D281" s="11">
        <v>10000</v>
      </c>
      <c r="E281" s="10" t="s">
        <v>19</v>
      </c>
      <c r="F281" s="7"/>
      <c r="G281" s="12" t="s">
        <v>20</v>
      </c>
      <c r="H281" s="7"/>
      <c r="I281" s="7"/>
      <c r="J281" s="7"/>
      <c r="K281" s="12" t="s">
        <v>21</v>
      </c>
      <c r="L281" s="12" t="str">
        <f t="shared" si="5"/>
        <v/>
      </c>
      <c r="M281" s="10" t="str">
        <f>""</f>
        <v/>
      </c>
    </row>
    <row r="282" spans="1:13" ht="12" customHeight="1" x14ac:dyDescent="0.25">
      <c r="A282" s="10" t="s">
        <v>567</v>
      </c>
      <c r="B282" s="10" t="s">
        <v>568</v>
      </c>
      <c r="C282" s="10" t="str">
        <f>"72212333-2"</f>
        <v>72212333-2</v>
      </c>
      <c r="D282" s="11">
        <v>18000</v>
      </c>
      <c r="E282" s="10" t="s">
        <v>19</v>
      </c>
      <c r="F282" s="7"/>
      <c r="G282" s="12" t="s">
        <v>20</v>
      </c>
      <c r="H282" s="7"/>
      <c r="I282" s="7"/>
      <c r="J282" s="7"/>
      <c r="K282" s="12" t="s">
        <v>132</v>
      </c>
      <c r="L282" s="12" t="str">
        <f t="shared" si="5"/>
        <v/>
      </c>
      <c r="M282" s="10" t="str">
        <f>""</f>
        <v/>
      </c>
    </row>
    <row r="283" spans="1:13" ht="12" customHeight="1" x14ac:dyDescent="0.25">
      <c r="A283" s="10" t="s">
        <v>569</v>
      </c>
      <c r="B283" s="10" t="s">
        <v>570</v>
      </c>
      <c r="C283" s="10" t="str">
        <f>"72316000-3"</f>
        <v>72316000-3</v>
      </c>
      <c r="D283" s="11">
        <v>15000</v>
      </c>
      <c r="E283" s="10" t="s">
        <v>19</v>
      </c>
      <c r="F283" s="7"/>
      <c r="G283" s="12" t="s">
        <v>20</v>
      </c>
      <c r="H283" s="7"/>
      <c r="I283" s="7"/>
      <c r="J283" s="7"/>
      <c r="K283" s="12" t="s">
        <v>132</v>
      </c>
      <c r="L283" s="12" t="str">
        <f t="shared" si="5"/>
        <v/>
      </c>
      <c r="M283" s="10" t="str">
        <f>""</f>
        <v/>
      </c>
    </row>
    <row r="284" spans="1:13" ht="12" customHeight="1" x14ac:dyDescent="0.25">
      <c r="A284" s="10" t="s">
        <v>571</v>
      </c>
      <c r="B284" s="10" t="s">
        <v>572</v>
      </c>
      <c r="C284" s="10" t="str">
        <f>"79999100-4"</f>
        <v>79999100-4</v>
      </c>
      <c r="D284" s="11">
        <v>10000</v>
      </c>
      <c r="E284" s="10" t="s">
        <v>19</v>
      </c>
      <c r="F284" s="7"/>
      <c r="G284" s="12" t="s">
        <v>20</v>
      </c>
      <c r="H284" s="7"/>
      <c r="I284" s="7"/>
      <c r="J284" s="7"/>
      <c r="K284" s="12" t="s">
        <v>132</v>
      </c>
      <c r="L284" s="12" t="str">
        <f t="shared" si="5"/>
        <v/>
      </c>
      <c r="M284" s="10" t="str">
        <f>""</f>
        <v/>
      </c>
    </row>
    <row r="285" spans="1:13" ht="12" customHeight="1" x14ac:dyDescent="0.25">
      <c r="A285" s="10" t="s">
        <v>573</v>
      </c>
      <c r="B285" s="10" t="s">
        <v>574</v>
      </c>
      <c r="C285" s="10" t="str">
        <f>"60170000-0"</f>
        <v>60170000-0</v>
      </c>
      <c r="D285" s="11">
        <v>1410</v>
      </c>
      <c r="E285" s="10" t="s">
        <v>19</v>
      </c>
      <c r="F285" s="7"/>
      <c r="G285" s="12" t="s">
        <v>20</v>
      </c>
      <c r="H285" s="7"/>
      <c r="I285" s="7"/>
      <c r="J285" s="7"/>
      <c r="K285" s="12" t="s">
        <v>132</v>
      </c>
      <c r="L285" s="12" t="str">
        <f t="shared" si="5"/>
        <v/>
      </c>
      <c r="M285" s="10" t="str">
        <f>""</f>
        <v/>
      </c>
    </row>
    <row r="286" spans="1:13" ht="12" customHeight="1" x14ac:dyDescent="0.25">
      <c r="A286" s="10" t="s">
        <v>575</v>
      </c>
      <c r="B286" s="10" t="s">
        <v>576</v>
      </c>
      <c r="C286" s="10" t="str">
        <f>"33141411-4"</f>
        <v>33141411-4</v>
      </c>
      <c r="D286" s="11">
        <v>5000</v>
      </c>
      <c r="E286" s="10" t="s">
        <v>19</v>
      </c>
      <c r="F286" s="7"/>
      <c r="G286" s="12" t="s">
        <v>20</v>
      </c>
      <c r="H286" s="7"/>
      <c r="I286" s="7"/>
      <c r="J286" s="7"/>
      <c r="K286" s="12" t="s">
        <v>21</v>
      </c>
      <c r="L286" s="12" t="str">
        <f t="shared" si="5"/>
        <v/>
      </c>
      <c r="M286" s="10" t="str">
        <f>""</f>
        <v/>
      </c>
    </row>
    <row r="287" spans="1:13" ht="12" customHeight="1" x14ac:dyDescent="0.25">
      <c r="A287" s="10" t="s">
        <v>577</v>
      </c>
      <c r="B287" s="10" t="s">
        <v>578</v>
      </c>
      <c r="C287" s="10" t="str">
        <f>"70220000-9"</f>
        <v>70220000-9</v>
      </c>
      <c r="D287" s="11">
        <v>27880</v>
      </c>
      <c r="E287" s="10" t="s">
        <v>19</v>
      </c>
      <c r="F287" s="7"/>
      <c r="G287" s="12" t="s">
        <v>20</v>
      </c>
      <c r="H287" s="7"/>
      <c r="I287" s="7"/>
      <c r="J287" s="7"/>
      <c r="K287" s="12" t="s">
        <v>132</v>
      </c>
      <c r="L287" s="12" t="str">
        <f t="shared" si="5"/>
        <v/>
      </c>
      <c r="M287" s="10" t="str">
        <f>""</f>
        <v/>
      </c>
    </row>
    <row r="288" spans="1:13" ht="12" customHeight="1" x14ac:dyDescent="0.25">
      <c r="A288" s="10" t="s">
        <v>579</v>
      </c>
      <c r="B288" s="10" t="s">
        <v>580</v>
      </c>
      <c r="C288" s="10" t="str">
        <f>"79800000-2"</f>
        <v>79800000-2</v>
      </c>
      <c r="D288" s="11">
        <v>1000</v>
      </c>
      <c r="E288" s="10" t="s">
        <v>19</v>
      </c>
      <c r="F288" s="7"/>
      <c r="G288" s="12" t="s">
        <v>20</v>
      </c>
      <c r="H288" s="7"/>
      <c r="I288" s="7"/>
      <c r="J288" s="7"/>
      <c r="K288" s="12" t="s">
        <v>132</v>
      </c>
      <c r="L288" s="12" t="str">
        <f t="shared" si="5"/>
        <v/>
      </c>
      <c r="M288" s="10" t="str">
        <f>""</f>
        <v/>
      </c>
    </row>
    <row r="289" spans="1:13" ht="12" customHeight="1" x14ac:dyDescent="0.25">
      <c r="A289" s="10" t="s">
        <v>581</v>
      </c>
      <c r="B289" s="10" t="s">
        <v>582</v>
      </c>
      <c r="C289" s="10" t="str">
        <f>"71328000-3"</f>
        <v>71328000-3</v>
      </c>
      <c r="D289" s="11">
        <v>7500</v>
      </c>
      <c r="E289" s="10" t="s">
        <v>19</v>
      </c>
      <c r="F289" s="7"/>
      <c r="G289" s="12" t="s">
        <v>20</v>
      </c>
      <c r="H289" s="7"/>
      <c r="I289" s="7"/>
      <c r="J289" s="7"/>
      <c r="K289" s="12" t="s">
        <v>132</v>
      </c>
      <c r="L289" s="12" t="str">
        <f t="shared" si="5"/>
        <v/>
      </c>
      <c r="M289" s="10" t="str">
        <f>""</f>
        <v/>
      </c>
    </row>
    <row r="290" spans="1:13" ht="12" customHeight="1" x14ac:dyDescent="0.25">
      <c r="A290" s="10" t="s">
        <v>583</v>
      </c>
      <c r="B290" s="10" t="s">
        <v>584</v>
      </c>
      <c r="C290" s="10" t="str">
        <f>"79952000-2"</f>
        <v>79952000-2</v>
      </c>
      <c r="D290" s="11">
        <v>188500</v>
      </c>
      <c r="E290" s="10" t="s">
        <v>19</v>
      </c>
      <c r="F290" s="7"/>
      <c r="G290" s="12" t="s">
        <v>20</v>
      </c>
      <c r="H290" s="7"/>
      <c r="I290" s="7"/>
      <c r="J290" s="7"/>
      <c r="K290" s="12" t="s">
        <v>132</v>
      </c>
      <c r="L290" s="12" t="str">
        <f t="shared" si="5"/>
        <v/>
      </c>
      <c r="M290" s="10" t="str">
        <f>""</f>
        <v/>
      </c>
    </row>
    <row r="291" spans="1:13" ht="12" customHeight="1" x14ac:dyDescent="0.25">
      <c r="A291" s="10" t="s">
        <v>585</v>
      </c>
      <c r="B291" s="10" t="s">
        <v>586</v>
      </c>
      <c r="C291" s="10" t="str">
        <f>"92112000-9"</f>
        <v>92112000-9</v>
      </c>
      <c r="D291" s="11">
        <v>198500</v>
      </c>
      <c r="E291" s="10" t="s">
        <v>19</v>
      </c>
      <c r="F291" s="7"/>
      <c r="G291" s="12" t="s">
        <v>20</v>
      </c>
      <c r="H291" s="7"/>
      <c r="I291" s="7"/>
      <c r="J291" s="7"/>
      <c r="K291" s="12" t="s">
        <v>132</v>
      </c>
      <c r="L291" s="12" t="str">
        <f t="shared" si="5"/>
        <v/>
      </c>
      <c r="M291" s="10" t="str">
        <f>""</f>
        <v/>
      </c>
    </row>
    <row r="292" spans="1:13" ht="12" customHeight="1" x14ac:dyDescent="0.25">
      <c r="A292" s="10" t="s">
        <v>587</v>
      </c>
      <c r="B292" s="10" t="s">
        <v>588</v>
      </c>
      <c r="C292" s="10" t="str">
        <f>"32321200-1"</f>
        <v>32321200-1</v>
      </c>
      <c r="D292" s="11">
        <v>2200</v>
      </c>
      <c r="E292" s="10" t="s">
        <v>19</v>
      </c>
      <c r="F292" s="7"/>
      <c r="G292" s="12" t="s">
        <v>20</v>
      </c>
      <c r="H292" s="7"/>
      <c r="I292" s="7"/>
      <c r="J292" s="7"/>
      <c r="K292" s="12" t="s">
        <v>21</v>
      </c>
      <c r="L292" s="12" t="str">
        <f t="shared" si="5"/>
        <v/>
      </c>
      <c r="M292" s="10" t="str">
        <f>""</f>
        <v/>
      </c>
    </row>
    <row r="293" spans="1:13" ht="12" customHeight="1" x14ac:dyDescent="0.25">
      <c r="A293" s="10" t="s">
        <v>589</v>
      </c>
      <c r="B293" s="10" t="s">
        <v>590</v>
      </c>
      <c r="C293" s="10" t="str">
        <f>"60180000-3"</f>
        <v>60180000-3</v>
      </c>
      <c r="D293" s="11">
        <v>1550</v>
      </c>
      <c r="E293" s="10" t="s">
        <v>19</v>
      </c>
      <c r="F293" s="7"/>
      <c r="G293" s="12" t="s">
        <v>20</v>
      </c>
      <c r="H293" s="7"/>
      <c r="I293" s="7"/>
      <c r="J293" s="7"/>
      <c r="K293" s="12" t="s">
        <v>132</v>
      </c>
      <c r="L293" s="12" t="str">
        <f t="shared" si="5"/>
        <v/>
      </c>
      <c r="M293" s="10" t="str">
        <f>""</f>
        <v/>
      </c>
    </row>
    <row r="294" spans="1:13" ht="12" customHeight="1" x14ac:dyDescent="0.25">
      <c r="A294" s="10" t="s">
        <v>591</v>
      </c>
      <c r="B294" s="10" t="s">
        <v>592</v>
      </c>
      <c r="C294" s="10" t="str">
        <f>"34330000-9"</f>
        <v>34330000-9</v>
      </c>
      <c r="D294" s="11">
        <v>3000</v>
      </c>
      <c r="E294" s="10" t="s">
        <v>19</v>
      </c>
      <c r="F294" s="7"/>
      <c r="G294" s="12" t="s">
        <v>20</v>
      </c>
      <c r="H294" s="7"/>
      <c r="I294" s="7"/>
      <c r="J294" s="7"/>
      <c r="K294" s="12" t="s">
        <v>21</v>
      </c>
      <c r="L294" s="12" t="str">
        <f t="shared" si="5"/>
        <v/>
      </c>
      <c r="M294" s="10" t="str">
        <f>""</f>
        <v/>
      </c>
    </row>
    <row r="295" spans="1:13" ht="12" customHeight="1" x14ac:dyDescent="0.25">
      <c r="A295" s="10" t="s">
        <v>593</v>
      </c>
      <c r="B295" s="10" t="s">
        <v>594</v>
      </c>
      <c r="C295" s="10" t="str">
        <f>"30213300-8"</f>
        <v>30213300-8</v>
      </c>
      <c r="D295" s="11">
        <v>90000</v>
      </c>
      <c r="E295" s="10" t="s">
        <v>19</v>
      </c>
      <c r="F295" s="7"/>
      <c r="G295" s="12" t="s">
        <v>20</v>
      </c>
      <c r="H295" s="7"/>
      <c r="I295" s="7"/>
      <c r="J295" s="7"/>
      <c r="K295" s="12" t="s">
        <v>21</v>
      </c>
      <c r="L295" s="12" t="str">
        <f t="shared" si="5"/>
        <v/>
      </c>
      <c r="M295" s="10" t="str">
        <f>""</f>
        <v/>
      </c>
    </row>
    <row r="296" spans="1:13" ht="12" customHeight="1" x14ac:dyDescent="0.25">
      <c r="A296" s="10" t="s">
        <v>595</v>
      </c>
      <c r="B296" s="10" t="s">
        <v>596</v>
      </c>
      <c r="C296" s="10" t="str">
        <f>"72212219-7"</f>
        <v>72212219-7</v>
      </c>
      <c r="D296" s="11">
        <v>137000</v>
      </c>
      <c r="E296" s="10" t="s">
        <v>19</v>
      </c>
      <c r="F296" s="7"/>
      <c r="G296" s="12" t="s">
        <v>20</v>
      </c>
      <c r="H296" s="7"/>
      <c r="I296" s="7"/>
      <c r="J296" s="7"/>
      <c r="K296" s="12" t="s">
        <v>132</v>
      </c>
      <c r="L296" s="12" t="str">
        <f t="shared" si="5"/>
        <v/>
      </c>
      <c r="M296" s="10" t="str">
        <f>""</f>
        <v/>
      </c>
    </row>
    <row r="297" spans="1:13" ht="12" customHeight="1" x14ac:dyDescent="0.25">
      <c r="A297" s="10" t="s">
        <v>597</v>
      </c>
      <c r="B297" s="10" t="s">
        <v>598</v>
      </c>
      <c r="C297" s="10" t="str">
        <f>"38652100-1"</f>
        <v>38652100-1</v>
      </c>
      <c r="D297" s="11">
        <v>22000</v>
      </c>
      <c r="E297" s="10" t="s">
        <v>19</v>
      </c>
      <c r="F297" s="7"/>
      <c r="G297" s="12" t="s">
        <v>20</v>
      </c>
      <c r="H297" s="7"/>
      <c r="I297" s="7"/>
      <c r="J297" s="7"/>
      <c r="K297" s="12" t="s">
        <v>21</v>
      </c>
      <c r="L297" s="12" t="str">
        <f t="shared" si="5"/>
        <v/>
      </c>
      <c r="M297" s="10" t="str">
        <f>""</f>
        <v/>
      </c>
    </row>
    <row r="298" spans="1:13" ht="12" customHeight="1" x14ac:dyDescent="0.25">
      <c r="A298" s="10" t="s">
        <v>599</v>
      </c>
      <c r="B298" s="10" t="s">
        <v>600</v>
      </c>
      <c r="C298" s="10" t="str">
        <f>"66171000-9"</f>
        <v>66171000-9</v>
      </c>
      <c r="D298" s="11">
        <v>10000</v>
      </c>
      <c r="E298" s="10" t="s">
        <v>19</v>
      </c>
      <c r="F298" s="7"/>
      <c r="G298" s="12" t="s">
        <v>20</v>
      </c>
      <c r="H298" s="7"/>
      <c r="I298" s="7"/>
      <c r="J298" s="7"/>
      <c r="K298" s="12" t="s">
        <v>132</v>
      </c>
      <c r="L298" s="12" t="str">
        <f t="shared" si="5"/>
        <v/>
      </c>
      <c r="M298" s="10" t="str">
        <f>""</f>
        <v/>
      </c>
    </row>
    <row r="299" spans="1:13" ht="12" customHeight="1" x14ac:dyDescent="0.25">
      <c r="A299" s="10" t="s">
        <v>601</v>
      </c>
      <c r="B299" s="10" t="s">
        <v>602</v>
      </c>
      <c r="C299" s="10" t="str">
        <f>"90520000-8"</f>
        <v>90520000-8</v>
      </c>
      <c r="D299" s="11">
        <v>5300</v>
      </c>
      <c r="E299" s="10" t="s">
        <v>19</v>
      </c>
      <c r="F299" s="7"/>
      <c r="G299" s="12" t="s">
        <v>20</v>
      </c>
      <c r="H299" s="7"/>
      <c r="I299" s="7"/>
      <c r="J299" s="7"/>
      <c r="K299" s="12" t="s">
        <v>132</v>
      </c>
      <c r="L299" s="12" t="str">
        <f t="shared" si="5"/>
        <v/>
      </c>
      <c r="M299" s="10" t="str">
        <f>""</f>
        <v/>
      </c>
    </row>
    <row r="300" spans="1:13" ht="14.45" customHeight="1" x14ac:dyDescent="0.25">
      <c r="A300" s="7"/>
      <c r="B300" s="7"/>
      <c r="C300" s="8" t="s">
        <v>603</v>
      </c>
      <c r="D300" s="14">
        <v>12242424</v>
      </c>
      <c r="E300" s="7"/>
      <c r="F300" s="7"/>
      <c r="G300" s="7"/>
      <c r="H300" s="7"/>
      <c r="I300" s="7"/>
      <c r="J300" s="7"/>
      <c r="K300" s="7"/>
      <c r="L300" s="7"/>
      <c r="M300" s="7"/>
    </row>
    <row r="301" spans="1:13" ht="12.6" customHeight="1" x14ac:dyDescent="0.25">
      <c r="A301" s="7"/>
      <c r="B301" s="7"/>
      <c r="C301" s="7"/>
      <c r="D301" s="15"/>
      <c r="E301" s="7"/>
      <c r="F301" s="7"/>
      <c r="G301" s="7"/>
      <c r="H301" s="7"/>
      <c r="I301" s="7"/>
      <c r="J301" s="7"/>
      <c r="K301" s="7"/>
      <c r="L301" s="7"/>
      <c r="M301" s="7"/>
    </row>
    <row r="302" spans="1:13" ht="12.6" customHeight="1" x14ac:dyDescent="0.25">
      <c r="A302" s="7"/>
      <c r="B302" s="7"/>
      <c r="C302" s="9" t="s">
        <v>604</v>
      </c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 ht="12" customHeight="1" x14ac:dyDescent="0.25">
      <c r="A303" s="10" t="s">
        <v>605</v>
      </c>
      <c r="B303" s="10" t="s">
        <v>606</v>
      </c>
      <c r="C303" s="10" t="str">
        <f>"39534000-4"</f>
        <v>39534000-4</v>
      </c>
      <c r="D303" s="11">
        <v>1600000</v>
      </c>
      <c r="E303" s="10" t="s">
        <v>607</v>
      </c>
      <c r="F303" s="7"/>
      <c r="G303" s="12" t="s">
        <v>20</v>
      </c>
      <c r="H303" s="10" t="s">
        <v>608</v>
      </c>
      <c r="I303" s="12" t="s">
        <v>609</v>
      </c>
      <c r="J303" s="12" t="s">
        <v>610</v>
      </c>
      <c r="K303" s="12" t="s">
        <v>21</v>
      </c>
      <c r="L303" s="12" t="str">
        <f t="shared" ref="L303:L312" si="6">CONCATENATE("")</f>
        <v/>
      </c>
      <c r="M303" s="10" t="str">
        <f>""</f>
        <v/>
      </c>
    </row>
    <row r="304" spans="1:13" ht="12" customHeight="1" x14ac:dyDescent="0.25">
      <c r="A304" s="10" t="s">
        <v>611</v>
      </c>
      <c r="B304" s="10" t="s">
        <v>612</v>
      </c>
      <c r="C304" s="10" t="str">
        <f>"45311000-0"</f>
        <v>45311000-0</v>
      </c>
      <c r="D304" s="11">
        <v>1600000</v>
      </c>
      <c r="E304" s="10" t="s">
        <v>607</v>
      </c>
      <c r="F304" s="7"/>
      <c r="G304" s="12" t="s">
        <v>20</v>
      </c>
      <c r="H304" s="10" t="s">
        <v>608</v>
      </c>
      <c r="I304" s="12" t="s">
        <v>613</v>
      </c>
      <c r="J304" s="12" t="s">
        <v>614</v>
      </c>
      <c r="K304" s="12" t="s">
        <v>251</v>
      </c>
      <c r="L304" s="12" t="str">
        <f t="shared" si="6"/>
        <v/>
      </c>
      <c r="M304" s="10" t="str">
        <f>""</f>
        <v/>
      </c>
    </row>
    <row r="305" spans="1:13" ht="12" customHeight="1" x14ac:dyDescent="0.25">
      <c r="A305" s="10" t="s">
        <v>615</v>
      </c>
      <c r="B305" s="10" t="s">
        <v>616</v>
      </c>
      <c r="C305" s="10" t="str">
        <f>"32510000-1"</f>
        <v>32510000-1</v>
      </c>
      <c r="D305" s="11">
        <v>1200000</v>
      </c>
      <c r="E305" s="10" t="s">
        <v>607</v>
      </c>
      <c r="F305" s="7"/>
      <c r="G305" s="12" t="s">
        <v>20</v>
      </c>
      <c r="H305" s="10" t="s">
        <v>617</v>
      </c>
      <c r="I305" s="12" t="s">
        <v>618</v>
      </c>
      <c r="J305" s="12" t="s">
        <v>619</v>
      </c>
      <c r="K305" s="12" t="s">
        <v>21</v>
      </c>
      <c r="L305" s="12" t="str">
        <f t="shared" si="6"/>
        <v/>
      </c>
      <c r="M305" s="10" t="str">
        <f>""</f>
        <v/>
      </c>
    </row>
    <row r="306" spans="1:13" ht="12" customHeight="1" x14ac:dyDescent="0.25">
      <c r="A306" s="10" t="s">
        <v>620</v>
      </c>
      <c r="B306" s="10" t="s">
        <v>621</v>
      </c>
      <c r="C306" s="10" t="str">
        <f>"30100000-0"</f>
        <v>30100000-0</v>
      </c>
      <c r="D306" s="11">
        <v>700000</v>
      </c>
      <c r="E306" s="10" t="s">
        <v>607</v>
      </c>
      <c r="F306" s="7"/>
      <c r="G306" s="12" t="s">
        <v>20</v>
      </c>
      <c r="H306" s="10" t="s">
        <v>608</v>
      </c>
      <c r="I306" s="12" t="s">
        <v>613</v>
      </c>
      <c r="J306" s="12" t="s">
        <v>614</v>
      </c>
      <c r="K306" s="12" t="s">
        <v>21</v>
      </c>
      <c r="L306" s="12" t="str">
        <f t="shared" si="6"/>
        <v/>
      </c>
      <c r="M306" s="10" t="str">
        <f>""</f>
        <v/>
      </c>
    </row>
    <row r="307" spans="1:13" ht="12" customHeight="1" x14ac:dyDescent="0.25">
      <c r="A307" s="10" t="s">
        <v>622</v>
      </c>
      <c r="B307" s="10" t="s">
        <v>623</v>
      </c>
      <c r="C307" s="10" t="str">
        <f>"39154000-6"</f>
        <v>39154000-6</v>
      </c>
      <c r="D307" s="11">
        <v>1500000</v>
      </c>
      <c r="E307" s="10" t="s">
        <v>607</v>
      </c>
      <c r="F307" s="7"/>
      <c r="G307" s="12" t="s">
        <v>20</v>
      </c>
      <c r="H307" s="10" t="s">
        <v>608</v>
      </c>
      <c r="I307" s="12" t="s">
        <v>624</v>
      </c>
      <c r="J307" s="12" t="s">
        <v>614</v>
      </c>
      <c r="K307" s="12" t="s">
        <v>21</v>
      </c>
      <c r="L307" s="12" t="str">
        <f t="shared" si="6"/>
        <v/>
      </c>
      <c r="M307" s="10" t="str">
        <f>""</f>
        <v/>
      </c>
    </row>
    <row r="308" spans="1:13" ht="12" customHeight="1" x14ac:dyDescent="0.25">
      <c r="A308" s="10" t="s">
        <v>625</v>
      </c>
      <c r="B308" s="10" t="s">
        <v>626</v>
      </c>
      <c r="C308" s="10" t="str">
        <f>"32323000-3"</f>
        <v>32323000-3</v>
      </c>
      <c r="D308" s="11">
        <v>350000</v>
      </c>
      <c r="E308" s="10" t="s">
        <v>607</v>
      </c>
      <c r="F308" s="7"/>
      <c r="G308" s="12" t="s">
        <v>20</v>
      </c>
      <c r="H308" s="10" t="s">
        <v>617</v>
      </c>
      <c r="I308" s="12" t="s">
        <v>627</v>
      </c>
      <c r="J308" s="12" t="s">
        <v>628</v>
      </c>
      <c r="K308" s="12" t="s">
        <v>21</v>
      </c>
      <c r="L308" s="12" t="str">
        <f t="shared" si="6"/>
        <v/>
      </c>
      <c r="M308" s="10" t="str">
        <f>""</f>
        <v/>
      </c>
    </row>
    <row r="309" spans="1:13" ht="12" customHeight="1" x14ac:dyDescent="0.25">
      <c r="A309" s="10" t="s">
        <v>629</v>
      </c>
      <c r="B309" s="10" t="s">
        <v>630</v>
      </c>
      <c r="C309" s="10" t="str">
        <f>"45261900-3"</f>
        <v>45261900-3</v>
      </c>
      <c r="D309" s="11">
        <v>1500000</v>
      </c>
      <c r="E309" s="10" t="s">
        <v>607</v>
      </c>
      <c r="F309" s="7"/>
      <c r="G309" s="12" t="s">
        <v>20</v>
      </c>
      <c r="H309" s="10" t="s">
        <v>608</v>
      </c>
      <c r="I309" s="12" t="s">
        <v>624</v>
      </c>
      <c r="J309" s="12" t="s">
        <v>610</v>
      </c>
      <c r="K309" s="12" t="s">
        <v>251</v>
      </c>
      <c r="L309" s="12" t="str">
        <f t="shared" si="6"/>
        <v/>
      </c>
      <c r="M309" s="10" t="str">
        <f>""</f>
        <v/>
      </c>
    </row>
    <row r="310" spans="1:13" ht="12" customHeight="1" x14ac:dyDescent="0.25">
      <c r="A310" s="10" t="s">
        <v>631</v>
      </c>
      <c r="B310" s="10" t="s">
        <v>632</v>
      </c>
      <c r="C310" s="10" t="str">
        <f>"72212214-2"</f>
        <v>72212214-2</v>
      </c>
      <c r="D310" s="11">
        <v>500000</v>
      </c>
      <c r="E310" s="10" t="s">
        <v>607</v>
      </c>
      <c r="F310" s="7"/>
      <c r="G310" s="12" t="s">
        <v>20</v>
      </c>
      <c r="H310" s="10" t="s">
        <v>617</v>
      </c>
      <c r="I310" s="12" t="s">
        <v>618</v>
      </c>
      <c r="J310" s="12" t="s">
        <v>628</v>
      </c>
      <c r="K310" s="12" t="s">
        <v>132</v>
      </c>
      <c r="L310" s="12" t="str">
        <f t="shared" si="6"/>
        <v/>
      </c>
      <c r="M310" s="10" t="str">
        <f>""</f>
        <v/>
      </c>
    </row>
    <row r="311" spans="1:13" ht="12" customHeight="1" x14ac:dyDescent="0.25">
      <c r="A311" s="10" t="s">
        <v>633</v>
      </c>
      <c r="B311" s="10" t="s">
        <v>634</v>
      </c>
      <c r="C311" s="10" t="str">
        <f>"42513200-7"</f>
        <v>42513200-7</v>
      </c>
      <c r="D311" s="11">
        <v>700000</v>
      </c>
      <c r="E311" s="10" t="s">
        <v>607</v>
      </c>
      <c r="F311" s="7"/>
      <c r="G311" s="12" t="s">
        <v>20</v>
      </c>
      <c r="H311" s="10" t="s">
        <v>617</v>
      </c>
      <c r="I311" s="12" t="s">
        <v>635</v>
      </c>
      <c r="J311" s="12" t="s">
        <v>636</v>
      </c>
      <c r="K311" s="12" t="s">
        <v>21</v>
      </c>
      <c r="L311" s="12" t="str">
        <f t="shared" si="6"/>
        <v/>
      </c>
      <c r="M311" s="10" t="str">
        <f>""</f>
        <v/>
      </c>
    </row>
    <row r="312" spans="1:13" ht="12" customHeight="1" x14ac:dyDescent="0.25">
      <c r="A312" s="10" t="s">
        <v>637</v>
      </c>
      <c r="B312" s="10" t="s">
        <v>638</v>
      </c>
      <c r="C312" s="10" t="str">
        <f>"72413000-8"</f>
        <v>72413000-8</v>
      </c>
      <c r="D312" s="11">
        <v>40000</v>
      </c>
      <c r="E312" s="10" t="s">
        <v>607</v>
      </c>
      <c r="F312" s="7"/>
      <c r="G312" s="12" t="s">
        <v>20</v>
      </c>
      <c r="H312" s="10" t="s">
        <v>608</v>
      </c>
      <c r="I312" s="12" t="s">
        <v>613</v>
      </c>
      <c r="J312" s="12" t="s">
        <v>614</v>
      </c>
      <c r="K312" s="12" t="s">
        <v>132</v>
      </c>
      <c r="L312" s="12" t="str">
        <f t="shared" si="6"/>
        <v/>
      </c>
      <c r="M312" s="10" t="str">
        <f>""</f>
        <v/>
      </c>
    </row>
    <row r="313" spans="1:13" ht="14.45" customHeight="1" x14ac:dyDescent="0.25">
      <c r="A313" s="7"/>
      <c r="B313" s="7"/>
      <c r="C313" s="8" t="s">
        <v>639</v>
      </c>
      <c r="D313" s="14">
        <v>9690000</v>
      </c>
      <c r="E313" s="7"/>
      <c r="F313" s="7"/>
      <c r="G313" s="7"/>
      <c r="H313" s="7"/>
      <c r="I313" s="7"/>
      <c r="J313" s="7"/>
      <c r="K313" s="7"/>
      <c r="L313" s="7"/>
      <c r="M313" s="7"/>
    </row>
    <row r="314" spans="1:13" ht="12.6" customHeight="1" x14ac:dyDescent="0.25">
      <c r="A314" s="7"/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</row>
    <row r="315" spans="1:13" ht="12.6" customHeight="1" x14ac:dyDescent="0.25">
      <c r="A315" s="7"/>
      <c r="B315" s="7"/>
      <c r="C315" s="9" t="s">
        <v>640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 ht="12" customHeight="1" x14ac:dyDescent="0.25">
      <c r="A316" s="10" t="s">
        <v>641</v>
      </c>
      <c r="B316" s="10" t="s">
        <v>642</v>
      </c>
      <c r="C316" s="10" t="str">
        <f>"64200000-8"</f>
        <v>64200000-8</v>
      </c>
      <c r="D316" s="11">
        <v>220000</v>
      </c>
      <c r="E316" s="10" t="s">
        <v>607</v>
      </c>
      <c r="F316" s="7"/>
      <c r="G316" s="12" t="s">
        <v>643</v>
      </c>
      <c r="H316" s="10" t="s">
        <v>608</v>
      </c>
      <c r="I316" s="12" t="s">
        <v>624</v>
      </c>
      <c r="J316" s="12" t="s">
        <v>614</v>
      </c>
      <c r="K316" s="12" t="s">
        <v>132</v>
      </c>
      <c r="L316" s="12" t="str">
        <f>CONCATENATE("")</f>
        <v/>
      </c>
      <c r="M316" s="10" t="str">
        <f>"ZAKLJUČAK O NABAVNIM KATEGORIJAMA"</f>
        <v>ZAKLJUČAK O NABAVNIM KATEGORIJAMA</v>
      </c>
    </row>
    <row r="317" spans="1:13" ht="12" customHeight="1" x14ac:dyDescent="0.25">
      <c r="A317" s="10" t="s">
        <v>644</v>
      </c>
      <c r="B317" s="10" t="s">
        <v>645</v>
      </c>
      <c r="C317" s="10" t="str">
        <f>"09123000-7"</f>
        <v>09123000-7</v>
      </c>
      <c r="D317" s="11">
        <v>86000</v>
      </c>
      <c r="E317" s="10" t="s">
        <v>607</v>
      </c>
      <c r="F317" s="7"/>
      <c r="G317" s="12" t="s">
        <v>20</v>
      </c>
      <c r="H317" s="10" t="s">
        <v>608</v>
      </c>
      <c r="I317" s="12" t="s">
        <v>613</v>
      </c>
      <c r="J317" s="12" t="s">
        <v>614</v>
      </c>
      <c r="K317" s="12" t="s">
        <v>21</v>
      </c>
      <c r="L317" s="12" t="str">
        <f>CONCATENATE("")</f>
        <v/>
      </c>
      <c r="M317" s="10" t="str">
        <f>"ZAKLJUČAK O NABAVNIM KATEGORIJAMA"</f>
        <v>ZAKLJUČAK O NABAVNIM KATEGORIJAMA</v>
      </c>
    </row>
    <row r="318" spans="1:13" ht="14.45" customHeight="1" x14ac:dyDescent="0.25">
      <c r="A318" s="7"/>
      <c r="B318" s="7"/>
      <c r="C318" s="8" t="s">
        <v>646</v>
      </c>
      <c r="D318" s="14">
        <v>306000</v>
      </c>
      <c r="E318" s="7"/>
      <c r="F318" s="7"/>
      <c r="G318" s="7"/>
      <c r="H318" s="7"/>
      <c r="I318" s="7"/>
      <c r="J318" s="7"/>
      <c r="K318" s="7"/>
      <c r="L318" s="7"/>
      <c r="M318" s="7"/>
    </row>
    <row r="319" spans="1:13" ht="12.6" customHeight="1" x14ac:dyDescent="0.25">
      <c r="A319" s="7"/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</row>
    <row r="320" spans="1:13" ht="14.45" customHeight="1" x14ac:dyDescent="0.25">
      <c r="A320" s="7"/>
      <c r="B320" s="7"/>
      <c r="C320" s="16" t="s">
        <v>647</v>
      </c>
      <c r="D320" s="14">
        <v>22238424</v>
      </c>
      <c r="E320" s="7"/>
      <c r="F320" s="7"/>
      <c r="G320" s="7"/>
      <c r="H320" s="7"/>
      <c r="I320" s="7"/>
      <c r="J320" s="7"/>
      <c r="K320" s="7"/>
      <c r="L320" s="7"/>
      <c r="M320" s="7"/>
    </row>
  </sheetData>
  <mergeCells count="12">
    <mergeCell ref="G1:G4"/>
    <mergeCell ref="H1:H4"/>
    <mergeCell ref="I1:I4"/>
    <mergeCell ref="J1:J4"/>
    <mergeCell ref="L1:L4"/>
    <mergeCell ref="M1:M4"/>
    <mergeCell ref="A1:A4"/>
    <mergeCell ref="B1:B4"/>
    <mergeCell ref="C1:C4"/>
    <mergeCell ref="D1:D4"/>
    <mergeCell ref="E1:E4"/>
    <mergeCell ref="F1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downloadnab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F1</dc:title>
  <dc:creator>Zvonimir Tilić</dc:creator>
  <cp:lastModifiedBy>Zvonimir Tilić</cp:lastModifiedBy>
  <dcterms:created xsi:type="dcterms:W3CDTF">2019-12-16T09:21:41Z</dcterms:created>
  <dcterms:modified xsi:type="dcterms:W3CDTF">2019-12-16T09:21:41Z</dcterms:modified>
</cp:coreProperties>
</file>